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 BALANCO 2017" sheetId="1" state="visible" r:id="rId2"/>
    <sheet name="BALANCO 2018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<sst xmlns="http://schemas.openxmlformats.org/spreadsheetml/2006/main" count="210" uniqueCount="102">
  <si>
    <t xml:space="preserve">BANCO DO BRASIL 2017</t>
  </si>
  <si>
    <t xml:space="preserve">CREDITOS</t>
  </si>
  <si>
    <t xml:space="preserve">JANEIRO</t>
  </si>
  <si>
    <t xml:space="preserve">FEVEREIRO</t>
  </si>
  <si>
    <t xml:space="preserve">MARCO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</si>
  <si>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</si>
  <si>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</si>
  <si>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</si>
  <si>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</si>
  <si>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</si>
  <si>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</si>
  <si>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</si>
  <si>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</si>
  <si>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</si>
  <si>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t xml:space="preserve">TOTAL</t>
  </si>
  <si>
    <t xml:space="preserve">SALDO ANTERIOR 31/12/2016</t>
  </si>
  <si>
    <t xml:space="preserve">PREF</t>
  </si>
  <si>
    <t xml:space="preserve">ALUGUEL</t>
  </si>
  <si>
    <t xml:space="preserve">PREVI</t>
  </si>
  <si>
    <t xml:space="preserve">SEGURO CAP/MUTUAL/EMPRESTIMO</t>
  </si>
  <si>
    <t xml:space="preserve">TOTAL RECEBIDO</t>
  </si>
  <si>
    <t xml:space="preserve">DESPESAS</t>
  </si>
  <si>
    <t xml:space="preserve">AGUA</t>
  </si>
  <si>
    <t xml:space="preserve">CASA LUZ</t>
  </si>
  <si>
    <t xml:space="preserve">ROM CARD</t>
  </si>
  <si>
    <t xml:space="preserve">PLENO</t>
  </si>
  <si>
    <t xml:space="preserve">SUP AREIAS</t>
  </si>
  <si>
    <t xml:space="preserve">ADM/CONT/CASTRO IMP</t>
  </si>
  <si>
    <t xml:space="preserve">AQUARELLA</t>
  </si>
  <si>
    <t xml:space="preserve">GIASSI/BIGUAFARMA</t>
  </si>
  <si>
    <t xml:space="preserve">DEV DE ALUGUEL E A PREF</t>
  </si>
  <si>
    <t xml:space="preserve">IMP/ACADEMIA</t>
  </si>
  <si>
    <t xml:space="preserve">MARILU</t>
  </si>
  <si>
    <t xml:space="preserve">CABURE</t>
  </si>
  <si>
    <t xml:space="preserve">EMC MAT/MIRANDA</t>
  </si>
  <si>
    <t xml:space="preserve">TELEFONE</t>
  </si>
  <si>
    <t xml:space="preserve">JJA</t>
  </si>
  <si>
    <t xml:space="preserve">SANTANDER</t>
  </si>
  <si>
    <t xml:space="preserve">FRANCK</t>
  </si>
  <si>
    <t xml:space="preserve">SEGURO DE VIDA ZURICH</t>
  </si>
  <si>
    <t xml:space="preserve">FERMIANO</t>
  </si>
  <si>
    <t xml:space="preserve">EVENTO</t>
  </si>
  <si>
    <t xml:space="preserve">POSTO</t>
  </si>
  <si>
    <t xml:space="preserve">TARIFA</t>
  </si>
  <si>
    <t xml:space="preserve">CARPINTERIOE PINTOR</t>
  </si>
  <si>
    <t xml:space="preserve">MUTUAL/AMERICA LIFE</t>
  </si>
  <si>
    <t xml:space="preserve">EMPRESTIMO PAGO</t>
  </si>
  <si>
    <t xml:space="preserve">RADIO</t>
  </si>
  <si>
    <t xml:space="preserve">ISS</t>
  </si>
  <si>
    <t xml:space="preserve">CELESC</t>
  </si>
  <si>
    <t xml:space="preserve">MAT DE LIMP</t>
  </si>
  <si>
    <t xml:space="preserve">MANUTENCAO DA SEDE</t>
  </si>
  <si>
    <t xml:space="preserve">FREZER</t>
  </si>
  <si>
    <t xml:space="preserve">ACIBIG</t>
  </si>
  <si>
    <t xml:space="preserve">JARDINAGEM CAMPO</t>
  </si>
  <si>
    <t xml:space="preserve">DESPESA COM VENDAVAL</t>
  </si>
  <si>
    <t xml:space="preserve">TOTAL PAGO</t>
  </si>
  <si>
    <t xml:space="preserve">SALDO ATUAL</t>
  </si>
  <si>
    <t xml:space="preserve">CAIXA ECONOMICA FEDERAL</t>
  </si>
  <si>
    <t xml:space="preserve">MARÇO</t>
  </si>
  <si>
    <t xml:space="preserve">MAIO </t>
  </si>
  <si>
    <t xml:space="preserve">total</t>
  </si>
  <si>
    <t xml:space="preserve">SALDO INICIAL 31/12/2016</t>
  </si>
  <si>
    <t xml:space="preserve">RECEITAS</t>
  </si>
  <si>
    <t xml:space="preserve">REPASSE CONVENIO CAIXA</t>
  </si>
  <si>
    <t xml:space="preserve">RECEITAS COM ALUGUEL</t>
  </si>
  <si>
    <t xml:space="preserve">RECEITAS COM PREVI</t>
  </si>
  <si>
    <t xml:space="preserve">APLICAÇAO</t>
  </si>
  <si>
    <t xml:space="preserve">OUTRAS RECEITAS</t>
  </si>
  <si>
    <t xml:space="preserve">TOTAL DAS  RECEITAS DO MÊS</t>
  </si>
  <si>
    <t xml:space="preserve">TOTAL DAS  RECEITAS ACUMULADO</t>
  </si>
  <si>
    <t xml:space="preserve">ALUGUEL DA SALA</t>
  </si>
  <si>
    <t xml:space="preserve">FINANCEIRAS</t>
  </si>
  <si>
    <t xml:space="preserve">MANUTENÇÃO DA SEDE/ADM</t>
  </si>
  <si>
    <t xml:space="preserve">INVESTIMENTOS E EVENTOS</t>
  </si>
  <si>
    <t xml:space="preserve">PGTO EMPRESTIMO</t>
  </si>
  <si>
    <t xml:space="preserve">IMPOSTOS/ DEVOL aluguel/seguro da sede</t>
  </si>
  <si>
    <t xml:space="preserve">OUTRAS DESPESAS COM VENDAVAL</t>
  </si>
  <si>
    <t xml:space="preserve">SEGURO DA SEDE</t>
  </si>
  <si>
    <t xml:space="preserve">SEGURO PREVISUL</t>
  </si>
  <si>
    <t xml:space="preserve">SEGURO MBM</t>
  </si>
  <si>
    <t xml:space="preserve">TOTAL DAS DESPESAS</t>
  </si>
  <si>
    <t xml:space="preserve">SALDO FINAL</t>
  </si>
  <si>
    <t xml:space="preserve">BANCO DO BRASIL 2018</t>
  </si>
  <si>
    <t xml:space="preserve">SALDO ANTERIOR 26/12/2017</t>
  </si>
  <si>
    <t xml:space="preserve">outros</t>
  </si>
  <si>
    <t xml:space="preserve">SEGURO/EMPRESTIMO</t>
  </si>
  <si>
    <t xml:space="preserve">TRANFERENCIA PARA CAIXA</t>
  </si>
  <si>
    <t xml:space="preserve">C E F</t>
  </si>
  <si>
    <t xml:space="preserve">SALDO INICIAL 31/12/2017</t>
  </si>
  <si>
    <t xml:space="preserve">REPASSE Camara</t>
  </si>
  <si>
    <t xml:space="preserve">ALUGUEL DO CAMPO</t>
  </si>
  <si>
    <t xml:space="preserve">OUTRAS RECEITAS (LUVA)</t>
  </si>
  <si>
    <t xml:space="preserve">TOTAL RECEITAS DO MÊS</t>
  </si>
  <si>
    <t xml:space="preserve">RECEITAS ACUMULADAS</t>
  </si>
  <si>
    <t xml:space="preserve">PRESTADOR DE SERVIÇO</t>
  </si>
  <si>
    <t xml:space="preserve">PGTO EMPRESTIMOS</t>
  </si>
  <si>
    <t xml:space="preserve">IMPOSTOS/ DEVOLUÇÃO</t>
  </si>
  <si>
    <t xml:space="preserve">DESPESAS COM VENDAVAL</t>
  </si>
  <si>
    <t xml:space="preserve">SEGURO PREVISUL e outros</t>
  </si>
  <si>
    <t xml:space="preserve">CARTAO ASMUB ROM CARD</t>
  </si>
  <si>
    <t xml:space="preserve">ELEIÇÃO/TRANSF BB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</si>
</sst>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&quot; R$ &quot;* #,##0.00\ ;&quot;-R$ &quot;* #,##0.00\ ;&quot; R$ &quot;* \-#\ ;@\ "/>
    <numFmt numFmtId="166" formatCode="&quot; R$&quot;* #,##0.00\ ;&quot; R$&quot;* \(#,##0.00\);&quot; R$&quot;* \-#\ ;@\ "/>
    <numFmt numFmtId="167" formatCode="* #,##0.00\ ;\-* #,##0.00\ ;* \-#\ ;@\ "/>
  </numFmts>
  <fonts count="1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name val="Calibri"/>
      <family val="2"/>
      <charset val="1"/>
    </font>
    <font>
      <b val="true"/>
      <sz val="12"/>
      <name val="Arial"/>
      <family val="2"/>
      <charset val="1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sz val="12"/>
      <name val="Arial"/>
      <family val="2"/>
      <charset val="1"/>
    </font>
    <font>
      <sz val="12"/>
      <color rgb="FF000000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sz val="12"/>
      <name val="Calibri"/>
      <family val="2"/>
      <charset val="1"/>
    </font>
    <font>
      <b val="true"/>
      <sz val="12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8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17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4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2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5" fillId="0" borderId="2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2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5" fillId="0" borderId="3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4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4" xfId="17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4" fillId="0" borderId="4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5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6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6" xfId="17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4" fillId="0" borderId="6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6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6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6" xfId="17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6" fillId="0" borderId="6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6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5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6" xfId="17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5" fillId="0" borderId="6" xfId="17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6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9" fillId="0" borderId="6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1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1" fillId="0" borderId="0" xfId="17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13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1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2" fillId="0" borderId="2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2" fillId="0" borderId="2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4" fillId="0" borderId="2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2" fillId="0" borderId="3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1" fillId="0" borderId="4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1" fillId="0" borderId="4" xfId="17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13" fillId="0" borderId="4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1" fillId="0" borderId="5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1" fillId="0" borderId="6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1" fillId="0" borderId="6" xfId="17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13" fillId="0" borderId="6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1" fillId="0" borderId="6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2" fillId="0" borderId="6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2" fillId="0" borderId="6" xfId="17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14" fillId="0" borderId="6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2" fillId="0" borderId="6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2" fillId="0" borderId="6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4" fillId="0" borderId="6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2" fillId="0" borderId="5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4" fillId="0" borderId="6" xfId="17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12" fillId="0" borderId="6" xfId="17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1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1" fillId="0" borderId="6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3" fillId="0" borderId="6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1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P7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26" activeCellId="0" sqref="H26"/>
    </sheetView>
  </sheetViews>
  <sheetFormatPr defaultRowHeight="15" zeroHeight="false" outlineLevelRow="0" outlineLevelCol="0"/>
  <cols>
    <col collapsed="false" customWidth="true" hidden="false" outlineLevel="0" max="1" min="1" style="0" width="40.61"/>
    <col collapsed="false" customWidth="true" hidden="false" outlineLevel="0" max="3" min="2" style="1" width="15.12"/>
    <col collapsed="false" customWidth="true" hidden="false" outlineLevel="0" max="4" min="4" style="2" width="14.31"/>
    <col collapsed="false" customWidth="true" hidden="false" outlineLevel="0" max="11" min="5" style="1" width="15.12"/>
    <col collapsed="false" customWidth="true" hidden="false" outlineLevel="0" max="12" min="12" style="3" width="15.12"/>
    <col collapsed="false" customWidth="true" hidden="false" outlineLevel="0" max="13" min="13" style="1" width="15.12"/>
    <col collapsed="false" customWidth="true" hidden="false" outlineLevel="0" max="14" min="14" style="4" width="18.63"/>
    <col collapsed="false" customWidth="true" hidden="false" outlineLevel="0" max="15" min="15" style="0" width="22.41"/>
    <col collapsed="false" customWidth="true" hidden="false" outlineLevel="0" max="16" min="16" style="0" width="18.09"/>
    <col collapsed="false" customWidth="true" hidden="false" outlineLevel="0" max="1025" min="17" style="0" width="8.1"/>
  </cols>
  <sheetData>
    <row r="1" customFormat="false" ht="15.75" hidden="false" customHeight="false" outlineLevel="0" collapsed="false">
      <c r="A1" s="5" t="s">
        <v>0</v>
      </c>
    </row>
    <row r="2" s="5" customFormat="true" ht="13.8" hidden="false" customHeight="false" outlineLevel="0" collapsed="false">
      <c r="A2" s="6" t="s">
        <v>1</v>
      </c>
      <c r="B2" s="7" t="s">
        <v>2</v>
      </c>
      <c r="C2" s="8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9" t="s">
        <v>12</v>
      </c>
      <c r="M2" s="7" t="s">
        <v>13</v>
      </c>
      <c r="N2" s="10" t="s">
        <v>14</v>
      </c>
    </row>
    <row r="3" customFormat="false" ht="13.8" hidden="false" customHeight="false" outlineLevel="0" collapsed="false">
      <c r="A3" s="11" t="s">
        <v>15</v>
      </c>
      <c r="B3" s="12" t="n">
        <v>1367.25</v>
      </c>
      <c r="C3" s="12" t="n">
        <f aca="false">B46</f>
        <v>1984.61999999999</v>
      </c>
      <c r="D3" s="13" t="n">
        <f aca="false">C46</f>
        <v>3853.72999999999</v>
      </c>
      <c r="E3" s="12" t="n">
        <f aca="false">D46</f>
        <v>3068.06</v>
      </c>
      <c r="F3" s="12" t="n">
        <f aca="false">E46</f>
        <v>2759.77</v>
      </c>
      <c r="G3" s="12" t="n">
        <f aca="false">F46</f>
        <v>1443.32</v>
      </c>
      <c r="H3" s="12" t="n">
        <f aca="false">G46</f>
        <v>2126.79</v>
      </c>
      <c r="I3" s="12" t="n">
        <f aca="false">H46</f>
        <v>551.77</v>
      </c>
      <c r="J3" s="12" t="n">
        <f aca="false">I46</f>
        <v>547.850000000002</v>
      </c>
      <c r="K3" s="12" t="n">
        <f aca="false">J46</f>
        <v>232.82</v>
      </c>
      <c r="L3" s="14" t="n">
        <f aca="false">K46</f>
        <v>102.639999999999</v>
      </c>
      <c r="M3" s="12" t="n">
        <f aca="false">L46</f>
        <v>814.349999999999</v>
      </c>
      <c r="N3" s="15" t="n">
        <f aca="false">M8</f>
        <v>21328.33</v>
      </c>
      <c r="P3" s="16"/>
    </row>
    <row r="4" customFormat="false" ht="13.8" hidden="false" customHeight="false" outlineLevel="0" collapsed="false">
      <c r="A4" s="0" t="s">
        <v>16</v>
      </c>
      <c r="B4" s="17" t="n">
        <f aca="false">22365.78+79.92+4981.57</f>
        <v>27427.27</v>
      </c>
      <c r="C4" s="17" t="n">
        <f aca="false">5162.7+20085.24</f>
        <v>25247.94</v>
      </c>
      <c r="D4" s="18" t="n">
        <f aca="false">18898.24+4459.45</f>
        <v>23357.69</v>
      </c>
      <c r="E4" s="17" t="n">
        <f aca="false">83.09+767.83+16613.37+4169.45</f>
        <v>21633.74</v>
      </c>
      <c r="F4" s="17" t="n">
        <f aca="false">15220.36+4111.2+59.81</f>
        <v>19391.37</v>
      </c>
      <c r="G4" s="17" t="n">
        <f aca="false">16043.86+4028.82</f>
        <v>20072.68</v>
      </c>
      <c r="H4" s="17" t="n">
        <f aca="false">17102.32+3850.28</f>
        <v>20952.6</v>
      </c>
      <c r="I4" s="17" t="n">
        <f aca="false">16032.76+4207.87</f>
        <v>20240.63</v>
      </c>
      <c r="J4" s="17" t="n">
        <f aca="false">16731.61+3502.92</f>
        <v>20234.53</v>
      </c>
      <c r="K4" s="17" t="n">
        <f aca="false">16308.75+3982.56+30.48+30.48</f>
        <v>20352.27</v>
      </c>
      <c r="L4" s="19" t="n">
        <f aca="false">16371.4+30.48+3881.24</f>
        <v>20283.12</v>
      </c>
      <c r="M4" s="17" t="n">
        <f aca="false">16650.49+3524.09+30.48</f>
        <v>20205.06</v>
      </c>
      <c r="N4" s="20" t="n">
        <f aca="false">SUM(B4:M4)</f>
        <v>259398.9</v>
      </c>
      <c r="P4" s="21"/>
    </row>
    <row r="5" customFormat="false" ht="13.8" hidden="false" customHeight="false" outlineLevel="0" collapsed="false">
      <c r="A5" s="0" t="s">
        <v>17</v>
      </c>
      <c r="B5" s="17"/>
      <c r="C5" s="17" t="n">
        <f aca="false">120+175</f>
        <v>295</v>
      </c>
      <c r="D5" s="18" t="n">
        <f aca="false">166.18+125</f>
        <v>291.18</v>
      </c>
      <c r="E5" s="17"/>
      <c r="F5" s="17" t="n">
        <f aca="false">30+184.09</f>
        <v>214.09</v>
      </c>
      <c r="G5" s="17" t="n">
        <v>150</v>
      </c>
      <c r="H5" s="17" t="n">
        <v>30</v>
      </c>
      <c r="I5" s="17" t="n">
        <v>30</v>
      </c>
      <c r="J5" s="17" t="n">
        <v>30</v>
      </c>
      <c r="K5" s="17" t="n">
        <v>30</v>
      </c>
      <c r="L5" s="19" t="n">
        <f aca="false">30+150</f>
        <v>180</v>
      </c>
      <c r="M5" s="17" t="n">
        <f aca="false">30</f>
        <v>30</v>
      </c>
      <c r="N5" s="20" t="n">
        <f aca="false">SUM(B5:M5)</f>
        <v>1280.27</v>
      </c>
      <c r="P5" s="16"/>
    </row>
    <row r="6" customFormat="false" ht="13.8" hidden="false" customHeight="false" outlineLevel="0" collapsed="false">
      <c r="A6" s="0" t="s">
        <v>18</v>
      </c>
      <c r="B6" s="17"/>
      <c r="C6" s="17"/>
      <c r="D6" s="18"/>
      <c r="E6" s="17"/>
      <c r="F6" s="17"/>
      <c r="G6" s="17" t="n">
        <v>840.33</v>
      </c>
      <c r="H6" s="17"/>
      <c r="I6" s="17"/>
      <c r="J6" s="17"/>
      <c r="K6" s="17"/>
      <c r="L6" s="19"/>
      <c r="M6" s="17"/>
      <c r="N6" s="20" t="n">
        <f aca="false">SUM(B6:M6)</f>
        <v>840.33</v>
      </c>
      <c r="P6" s="16"/>
    </row>
    <row r="7" customFormat="false" ht="13.8" hidden="false" customHeight="false" outlineLevel="0" collapsed="false">
      <c r="A7" s="0" t="s">
        <v>19</v>
      </c>
      <c r="B7" s="17" t="n">
        <v>82.73</v>
      </c>
      <c r="C7" s="17"/>
      <c r="D7" s="18"/>
      <c r="E7" s="17"/>
      <c r="F7" s="17" t="n">
        <f aca="false">8000</f>
        <v>8000</v>
      </c>
      <c r="G7" s="17"/>
      <c r="H7" s="17" t="n">
        <v>90.7</v>
      </c>
      <c r="I7" s="17"/>
      <c r="J7" s="17" t="n">
        <v>183.21</v>
      </c>
      <c r="K7" s="17"/>
      <c r="L7" s="19"/>
      <c r="M7" s="17" t="n">
        <v>278.92</v>
      </c>
      <c r="N7" s="20" t="n">
        <f aca="false">SUM(B7:M7)</f>
        <v>8635.56</v>
      </c>
      <c r="P7" s="21"/>
    </row>
    <row r="8" s="5" customFormat="true" ht="13.8" hidden="false" customHeight="false" outlineLevel="0" collapsed="false">
      <c r="A8" s="6" t="s">
        <v>20</v>
      </c>
      <c r="B8" s="22" t="n">
        <f aca="false">B3+B4+B5+B6+B7</f>
        <v>28877.25</v>
      </c>
      <c r="C8" s="22" t="n">
        <f aca="false">C3+C4+C5+C6+C7</f>
        <v>27527.56</v>
      </c>
      <c r="D8" s="23" t="n">
        <f aca="false">SUM(D3:D7)</f>
        <v>27502.6</v>
      </c>
      <c r="E8" s="22" t="n">
        <f aca="false">SUM(E3:E7)</f>
        <v>24701.8</v>
      </c>
      <c r="F8" s="22" t="n">
        <f aca="false">SUM(F3:F7)</f>
        <v>30365.23</v>
      </c>
      <c r="G8" s="22" t="n">
        <f aca="false">SUM(G3:G7)</f>
        <v>22506.33</v>
      </c>
      <c r="H8" s="22" t="n">
        <f aca="false">SUM(H3:H7)</f>
        <v>23200.09</v>
      </c>
      <c r="I8" s="22" t="n">
        <f aca="false">SUM(I3:I7)</f>
        <v>20822.4</v>
      </c>
      <c r="J8" s="22" t="n">
        <f aca="false">SUM(J3:J7)</f>
        <v>20995.59</v>
      </c>
      <c r="K8" s="22" t="n">
        <f aca="false">SUM(K3:K7)</f>
        <v>20615.09</v>
      </c>
      <c r="L8" s="24" t="n">
        <f aca="false">SUM(L3:L7)</f>
        <v>20565.76</v>
      </c>
      <c r="M8" s="22" t="n">
        <f aca="false">SUM(M3:M7)</f>
        <v>21328.33</v>
      </c>
      <c r="N8" s="25" t="n">
        <f aca="false">SUM(N3:N7)</f>
        <v>291483.39</v>
      </c>
      <c r="P8" s="26"/>
    </row>
    <row r="9" customFormat="false" ht="13.8" hidden="false" customHeight="false" outlineLevel="0" collapsed="false"/>
    <row r="10" s="5" customFormat="true" ht="13.8" hidden="false" customHeight="false" outlineLevel="0" collapsed="false">
      <c r="A10" s="6" t="s">
        <v>21</v>
      </c>
      <c r="B10" s="22" t="s">
        <v>2</v>
      </c>
      <c r="C10" s="22" t="s">
        <v>3</v>
      </c>
      <c r="D10" s="23" t="s">
        <v>4</v>
      </c>
      <c r="E10" s="22" t="s">
        <v>5</v>
      </c>
      <c r="F10" s="22" t="s">
        <v>6</v>
      </c>
      <c r="G10" s="22" t="s">
        <v>7</v>
      </c>
      <c r="H10" s="22" t="s">
        <v>8</v>
      </c>
      <c r="I10" s="22" t="s">
        <v>9</v>
      </c>
      <c r="J10" s="22" t="s">
        <v>10</v>
      </c>
      <c r="K10" s="22" t="s">
        <v>11</v>
      </c>
      <c r="L10" s="24" t="s">
        <v>12</v>
      </c>
      <c r="M10" s="22" t="s">
        <v>13</v>
      </c>
      <c r="N10" s="27" t="s">
        <v>14</v>
      </c>
    </row>
    <row r="11" customFormat="false" ht="13.8" hidden="false" customHeight="false" outlineLevel="0" collapsed="false">
      <c r="A11" s="0" t="s">
        <v>22</v>
      </c>
      <c r="B11" s="17" t="n">
        <v>117.14</v>
      </c>
      <c r="C11" s="17" t="n">
        <v>234.03</v>
      </c>
      <c r="D11" s="18" t="n">
        <v>97.66</v>
      </c>
      <c r="E11" s="17" t="n">
        <v>97.66</v>
      </c>
      <c r="F11" s="17" t="n">
        <v>58.7</v>
      </c>
      <c r="G11" s="17" t="n">
        <v>243.78</v>
      </c>
      <c r="H11" s="17" t="n">
        <v>136.63</v>
      </c>
      <c r="I11" s="17" t="n">
        <v>438.59</v>
      </c>
      <c r="J11" s="17" t="n">
        <v>126.89</v>
      </c>
      <c r="K11" s="17" t="n">
        <v>186.27</v>
      </c>
      <c r="L11" s="19" t="n">
        <v>62.27</v>
      </c>
      <c r="M11" s="17" t="n">
        <v>217.27</v>
      </c>
      <c r="N11" s="20" t="n">
        <f aca="false">SUM(B11:M11)</f>
        <v>2016.89</v>
      </c>
      <c r="O11" s="28"/>
      <c r="P11" s="29"/>
    </row>
    <row r="12" customFormat="false" ht="13.8" hidden="false" customHeight="false" outlineLevel="0" collapsed="false">
      <c r="A12" s="0" t="s">
        <v>23</v>
      </c>
      <c r="B12" s="17"/>
      <c r="C12" s="17" t="n">
        <f aca="false">537</f>
        <v>537</v>
      </c>
      <c r="D12" s="18"/>
      <c r="E12" s="17"/>
      <c r="F12" s="17"/>
      <c r="G12" s="17" t="n">
        <v>107.6</v>
      </c>
      <c r="H12" s="17"/>
      <c r="I12" s="17"/>
      <c r="J12" s="17"/>
      <c r="K12" s="17"/>
      <c r="L12" s="19"/>
      <c r="M12" s="17"/>
      <c r="N12" s="20" t="n">
        <f aca="false">SUM(B12:M12)</f>
        <v>644.6</v>
      </c>
      <c r="O12" s="28"/>
      <c r="P12" s="29"/>
    </row>
    <row r="13" customFormat="false" ht="13.8" hidden="false" customHeight="false" outlineLevel="0" collapsed="false">
      <c r="A13" s="0" t="s">
        <v>24</v>
      </c>
      <c r="B13" s="17" t="n">
        <v>644.56</v>
      </c>
      <c r="C13" s="17" t="n">
        <v>1088.88</v>
      </c>
      <c r="D13" s="18" t="n">
        <v>921.04</v>
      </c>
      <c r="E13" s="17" t="n">
        <v>1016.27</v>
      </c>
      <c r="F13" s="17" t="n">
        <v>1018.28</v>
      </c>
      <c r="G13" s="17" t="n">
        <v>857.32</v>
      </c>
      <c r="H13" s="17" t="n">
        <v>1082.53</v>
      </c>
      <c r="I13" s="17" t="n">
        <v>1085.21</v>
      </c>
      <c r="J13" s="17" t="n">
        <v>1378.51</v>
      </c>
      <c r="K13" s="17" t="n">
        <v>1314.34</v>
      </c>
      <c r="L13" s="19" t="n">
        <v>2285.84</v>
      </c>
      <c r="M13" s="17" t="n">
        <v>2232.49</v>
      </c>
      <c r="N13" s="20" t="n">
        <f aca="false">SUM(B13:M13)</f>
        <v>14925.27</v>
      </c>
      <c r="O13" s="28"/>
      <c r="P13" s="29"/>
    </row>
    <row r="14" customFormat="false" ht="13.8" hidden="false" customHeight="false" outlineLevel="0" collapsed="false">
      <c r="A14" s="0" t="s">
        <v>25</v>
      </c>
      <c r="B14" s="17" t="n">
        <v>117.05</v>
      </c>
      <c r="C14" s="17"/>
      <c r="D14" s="18"/>
      <c r="E14" s="17"/>
      <c r="F14" s="17"/>
      <c r="G14" s="17"/>
      <c r="H14" s="17"/>
      <c r="I14" s="17"/>
      <c r="J14" s="17"/>
      <c r="K14" s="17"/>
      <c r="L14" s="19"/>
      <c r="M14" s="17"/>
      <c r="N14" s="20" t="n">
        <f aca="false">SUM(B14:M14)</f>
        <v>117.05</v>
      </c>
      <c r="O14" s="28"/>
      <c r="P14" s="29"/>
    </row>
    <row r="15" customFormat="false" ht="13.8" hidden="false" customHeight="false" outlineLevel="0" collapsed="false">
      <c r="A15" s="0" t="s">
        <v>26</v>
      </c>
      <c r="B15" s="17" t="n">
        <v>8813.26</v>
      </c>
      <c r="C15" s="17" t="n">
        <v>9180.06</v>
      </c>
      <c r="D15" s="18" t="n">
        <v>8380.22</v>
      </c>
      <c r="E15" s="17" t="n">
        <v>7385.22</v>
      </c>
      <c r="F15" s="17" t="n">
        <v>7000.05</v>
      </c>
      <c r="G15" s="17" t="n">
        <v>7520.75</v>
      </c>
      <c r="H15" s="17" t="n">
        <v>7970.54</v>
      </c>
      <c r="I15" s="17" t="n">
        <v>6934.37</v>
      </c>
      <c r="J15" s="17" t="n">
        <v>6934.37</v>
      </c>
      <c r="K15" s="17" t="n">
        <v>7242.72</v>
      </c>
      <c r="L15" s="19" t="n">
        <v>7080.13</v>
      </c>
      <c r="M15" s="17" t="n">
        <v>6680.77</v>
      </c>
      <c r="N15" s="20" t="n">
        <f aca="false">SUM(B15:M15)</f>
        <v>91122.46</v>
      </c>
      <c r="O15" s="28"/>
      <c r="P15" s="29"/>
    </row>
    <row r="16" customFormat="false" ht="13.8" hidden="false" customHeight="false" outlineLevel="0" collapsed="false">
      <c r="A16" s="0" t="s">
        <v>27</v>
      </c>
      <c r="B16" s="17" t="n">
        <f aca="false">880+700</f>
        <v>1580</v>
      </c>
      <c r="C16" s="17" t="n">
        <f aca="false">469+600</f>
        <v>1069</v>
      </c>
      <c r="D16" s="18" t="n">
        <f aca="false">200+220</f>
        <v>420</v>
      </c>
      <c r="E16" s="17" t="n">
        <f aca="false">600</f>
        <v>600</v>
      </c>
      <c r="F16" s="17" t="n">
        <v>590</v>
      </c>
      <c r="G16" s="17" t="n">
        <v>550</v>
      </c>
      <c r="H16" s="17" t="n">
        <f aca="false">190.79+550</f>
        <v>740.79</v>
      </c>
      <c r="I16" s="17" t="n">
        <f aca="false">550</f>
        <v>550</v>
      </c>
      <c r="J16" s="17" t="n">
        <v>1460</v>
      </c>
      <c r="K16" s="17" t="n">
        <v>650</v>
      </c>
      <c r="L16" s="19" t="n">
        <f aca="false">550+51.85</f>
        <v>601.85</v>
      </c>
      <c r="M16" s="17"/>
      <c r="N16" s="20" t="n">
        <f aca="false">SUM(B16:M16)</f>
        <v>8811.64</v>
      </c>
      <c r="O16" s="28"/>
      <c r="P16" s="29"/>
    </row>
    <row r="17" customFormat="false" ht="13.8" hidden="false" customHeight="false" outlineLevel="0" collapsed="false">
      <c r="A17" s="0" t="s">
        <v>28</v>
      </c>
      <c r="B17" s="17" t="n">
        <v>503.6</v>
      </c>
      <c r="C17" s="17" t="n">
        <v>521.06</v>
      </c>
      <c r="D17" s="18" t="n">
        <v>739.26</v>
      </c>
      <c r="E17" s="17" t="n">
        <v>739.26</v>
      </c>
      <c r="F17" s="17" t="n">
        <v>754.46</v>
      </c>
      <c r="G17" s="17" t="n">
        <v>711.45</v>
      </c>
      <c r="H17" s="17" t="n">
        <v>482.92</v>
      </c>
      <c r="I17" s="17" t="n">
        <v>387.21</v>
      </c>
      <c r="J17" s="17" t="n">
        <v>387.21</v>
      </c>
      <c r="K17" s="17" t="n">
        <v>477.61</v>
      </c>
      <c r="L17" s="19" t="n">
        <v>373.5</v>
      </c>
      <c r="M17" s="17" t="n">
        <v>324.16</v>
      </c>
      <c r="N17" s="20" t="n">
        <f aca="false">SUM(B17:M17)</f>
        <v>6401.7</v>
      </c>
      <c r="O17" s="28"/>
      <c r="P17" s="29"/>
    </row>
    <row r="18" customFormat="false" ht="13.8" hidden="false" customHeight="false" outlineLevel="0" collapsed="false">
      <c r="A18" s="0" t="s">
        <v>29</v>
      </c>
      <c r="B18" s="17"/>
      <c r="C18" s="17" t="n">
        <v>415.09</v>
      </c>
      <c r="D18" s="18"/>
      <c r="E18" s="17" t="n">
        <v>23.41</v>
      </c>
      <c r="F18" s="17"/>
      <c r="G18" s="17" t="n">
        <v>142.94</v>
      </c>
      <c r="H18" s="17" t="n">
        <v>31.24</v>
      </c>
      <c r="I18" s="17"/>
      <c r="J18" s="17"/>
      <c r="K18" s="17"/>
      <c r="L18" s="19"/>
      <c r="M18" s="17"/>
      <c r="N18" s="20" t="n">
        <f aca="false">SUM(B18:M18)</f>
        <v>612.68</v>
      </c>
      <c r="O18" s="28"/>
      <c r="P18" s="29"/>
    </row>
    <row r="19" customFormat="false" ht="13.8" hidden="false" customHeight="false" outlineLevel="0" collapsed="false">
      <c r="A19" s="0" t="s">
        <v>30</v>
      </c>
      <c r="B19" s="17"/>
      <c r="C19" s="17"/>
      <c r="D19" s="18" t="n">
        <f aca="false">350+150</f>
        <v>500</v>
      </c>
      <c r="E19" s="17"/>
      <c r="F19" s="17"/>
      <c r="G19" s="17"/>
      <c r="H19" s="17"/>
      <c r="I19" s="17"/>
      <c r="J19" s="17"/>
      <c r="K19" s="17"/>
      <c r="L19" s="19"/>
      <c r="M19" s="17"/>
      <c r="N19" s="20" t="n">
        <f aca="false">SUM(B19:M19)</f>
        <v>500</v>
      </c>
      <c r="O19" s="28"/>
      <c r="P19" s="29"/>
    </row>
    <row r="20" customFormat="false" ht="13.8" hidden="false" customHeight="false" outlineLevel="0" collapsed="false">
      <c r="A20" s="0" t="s">
        <v>31</v>
      </c>
      <c r="B20" s="17"/>
      <c r="C20" s="17" t="n">
        <v>85.85</v>
      </c>
      <c r="D20" s="18"/>
      <c r="E20" s="17"/>
      <c r="F20" s="17"/>
      <c r="G20" s="17"/>
      <c r="H20" s="17" t="n">
        <v>143.05</v>
      </c>
      <c r="I20" s="17"/>
      <c r="J20" s="17"/>
      <c r="K20" s="17" t="n">
        <v>75</v>
      </c>
      <c r="L20" s="19"/>
      <c r="M20" s="17"/>
      <c r="N20" s="20" t="n">
        <f aca="false">SUM(B20:M20)</f>
        <v>303.9</v>
      </c>
      <c r="O20" s="28"/>
      <c r="P20" s="29"/>
    </row>
    <row r="21" customFormat="false" ht="13.8" hidden="false" customHeight="false" outlineLevel="0" collapsed="false">
      <c r="A21" s="0" t="s">
        <v>32</v>
      </c>
      <c r="B21" s="17" t="n">
        <v>103.01</v>
      </c>
      <c r="C21" s="17" t="n">
        <v>149.9</v>
      </c>
      <c r="D21" s="18" t="n">
        <v>142.34</v>
      </c>
      <c r="E21" s="17" t="n">
        <v>142.34</v>
      </c>
      <c r="F21" s="17" t="n">
        <v>134.79</v>
      </c>
      <c r="G21" s="17" t="n">
        <v>46.34</v>
      </c>
      <c r="H21" s="17" t="n">
        <v>177</v>
      </c>
      <c r="I21" s="17" t="n">
        <v>145.92</v>
      </c>
      <c r="J21" s="17" t="n">
        <v>145.92</v>
      </c>
      <c r="K21" s="17"/>
      <c r="L21" s="19" t="n">
        <v>164.1</v>
      </c>
      <c r="M21" s="17" t="n">
        <v>126.17</v>
      </c>
      <c r="N21" s="20" t="n">
        <f aca="false">SUM(B21:M21)</f>
        <v>1477.83</v>
      </c>
      <c r="O21" s="28"/>
      <c r="P21" s="29"/>
    </row>
    <row r="22" customFormat="false" ht="13.8" hidden="false" customHeight="false" outlineLevel="0" collapsed="false">
      <c r="A22" s="0" t="s">
        <v>33</v>
      </c>
      <c r="B22" s="17" t="n">
        <v>544</v>
      </c>
      <c r="C22" s="17" t="n">
        <v>255.82</v>
      </c>
      <c r="D22" s="18" t="n">
        <v>252.6</v>
      </c>
      <c r="E22" s="17" t="n">
        <v>253.62</v>
      </c>
      <c r="F22" s="17" t="n">
        <v>223.51</v>
      </c>
      <c r="G22" s="17"/>
      <c r="H22" s="17" t="n">
        <f aca="false">223.51+248.35</f>
        <v>471.86</v>
      </c>
      <c r="I22" s="17"/>
      <c r="J22" s="17" t="n">
        <v>223.51</v>
      </c>
      <c r="K22" s="17" t="n">
        <f aca="false">198.67+248.35</f>
        <v>447.02</v>
      </c>
      <c r="L22" s="19"/>
      <c r="M22" s="17" t="n">
        <v>223.51</v>
      </c>
      <c r="N22" s="20" t="n">
        <f aca="false">SUM(B22:M22)</f>
        <v>2895.45</v>
      </c>
      <c r="O22" s="28"/>
      <c r="P22" s="30"/>
    </row>
    <row r="23" customFormat="false" ht="13.8" hidden="false" customHeight="false" outlineLevel="0" collapsed="false">
      <c r="A23" s="0" t="s">
        <v>34</v>
      </c>
      <c r="B23" s="17" t="n">
        <v>163.8</v>
      </c>
      <c r="C23" s="17"/>
      <c r="D23" s="18" t="n">
        <f aca="false">1050.23+418.02</f>
        <v>1468.25</v>
      </c>
      <c r="E23" s="17"/>
      <c r="F23" s="17" t="n">
        <f aca="false">198.3+188.5</f>
        <v>386.8</v>
      </c>
      <c r="G23" s="17"/>
      <c r="H23" s="17"/>
      <c r="I23" s="17" t="n">
        <v>185</v>
      </c>
      <c r="J23" s="17" t="n">
        <v>312.5</v>
      </c>
      <c r="K23" s="17"/>
      <c r="L23" s="19"/>
      <c r="M23" s="17"/>
      <c r="N23" s="20" t="n">
        <f aca="false">SUM(B23:M23)</f>
        <v>2516.35</v>
      </c>
      <c r="O23" s="28"/>
      <c r="P23" s="29"/>
    </row>
    <row r="24" customFormat="false" ht="15" hidden="false" customHeight="false" outlineLevel="0" collapsed="false">
      <c r="A24" s="0" t="s">
        <v>35</v>
      </c>
      <c r="B24" s="17" t="n">
        <f aca="false">355.24+139.11</f>
        <v>494.35</v>
      </c>
      <c r="C24" s="17" t="n">
        <f aca="false">136.19+341.26</f>
        <v>477.45</v>
      </c>
      <c r="D24" s="18" t="n">
        <f aca="false">323.79+134.56</f>
        <v>458.35</v>
      </c>
      <c r="E24" s="17" t="n">
        <f aca="false">353.92+150.32</f>
        <v>504.24</v>
      </c>
      <c r="F24" s="17" t="n">
        <f aca="false">349.37+156.71</f>
        <v>506.08</v>
      </c>
      <c r="G24" s="17" t="n">
        <v>324.95</v>
      </c>
      <c r="H24" s="17" t="n">
        <v>561.17</v>
      </c>
      <c r="I24" s="17" t="n">
        <f aca="false">350.91+3.61</f>
        <v>354.52</v>
      </c>
      <c r="J24" s="17" t="n">
        <f aca="false">156.49+440.54</f>
        <v>597.03</v>
      </c>
      <c r="K24" s="17" t="n">
        <f aca="false">160.6+332.84</f>
        <v>493.44</v>
      </c>
      <c r="L24" s="19" t="n">
        <v>325.4</v>
      </c>
      <c r="M24" s="17" t="n">
        <v>304.57</v>
      </c>
      <c r="N24" s="20" t="n">
        <f aca="false">SUM(B24:M24)</f>
        <v>5401.55</v>
      </c>
      <c r="O24" s="28"/>
      <c r="P24" s="28"/>
    </row>
    <row r="25" customFormat="false" ht="15" hidden="false" customHeight="false" outlineLevel="0" collapsed="false">
      <c r="A25" s="0" t="s">
        <v>36</v>
      </c>
      <c r="B25" s="17" t="n">
        <v>436.8</v>
      </c>
      <c r="C25" s="17" t="n">
        <v>144.92</v>
      </c>
      <c r="D25" s="18" t="n">
        <v>96.9</v>
      </c>
      <c r="E25" s="17" t="n">
        <v>96.9</v>
      </c>
      <c r="F25" s="17" t="n">
        <v>113.06</v>
      </c>
      <c r="G25" s="17" t="n">
        <v>169.43</v>
      </c>
      <c r="H25" s="17" t="n">
        <v>511.18</v>
      </c>
      <c r="I25" s="17" t="n">
        <v>399.46</v>
      </c>
      <c r="J25" s="17" t="n">
        <v>399.46</v>
      </c>
      <c r="K25" s="17" t="n">
        <v>418.13</v>
      </c>
      <c r="L25" s="19" t="n">
        <v>486.74</v>
      </c>
      <c r="M25" s="17" t="n">
        <v>576.09</v>
      </c>
      <c r="N25" s="20" t="n">
        <f aca="false">SUM(B25:M25)</f>
        <v>3849.07</v>
      </c>
      <c r="O25" s="28"/>
      <c r="P25" s="28"/>
    </row>
    <row r="26" customFormat="false" ht="15" hidden="false" customHeight="false" outlineLevel="0" collapsed="false">
      <c r="A26" s="0" t="s">
        <v>37</v>
      </c>
      <c r="B26" s="17" t="n">
        <v>420.01</v>
      </c>
      <c r="C26" s="17"/>
      <c r="D26" s="18"/>
      <c r="E26" s="17"/>
      <c r="F26" s="17"/>
      <c r="G26" s="17"/>
      <c r="H26" s="17"/>
      <c r="I26" s="17"/>
      <c r="J26" s="17"/>
      <c r="K26" s="17"/>
      <c r="L26" s="19"/>
      <c r="M26" s="17"/>
      <c r="N26" s="20" t="n">
        <f aca="false">SUM(B26:M26)</f>
        <v>420.01</v>
      </c>
      <c r="O26" s="28"/>
      <c r="P26" s="28"/>
    </row>
    <row r="27" customFormat="false" ht="15" hidden="false" customHeight="false" outlineLevel="0" collapsed="false">
      <c r="A27" s="0" t="s">
        <v>38</v>
      </c>
      <c r="B27" s="17" t="n">
        <v>747.1</v>
      </c>
      <c r="C27" s="17" t="n">
        <v>680.3</v>
      </c>
      <c r="D27" s="18" t="n">
        <v>687.3</v>
      </c>
      <c r="E27" s="17" t="n">
        <v>680.3</v>
      </c>
      <c r="F27" s="17" t="n">
        <v>560</v>
      </c>
      <c r="G27" s="17" t="n">
        <v>507.9</v>
      </c>
      <c r="H27" s="17" t="n">
        <v>500.9</v>
      </c>
      <c r="I27" s="17"/>
      <c r="J27" s="17" t="n">
        <v>448.1</v>
      </c>
      <c r="K27" s="17" t="n">
        <v>440.1</v>
      </c>
      <c r="L27" s="19" t="n">
        <v>410.2</v>
      </c>
      <c r="M27" s="17" t="n">
        <v>410</v>
      </c>
      <c r="N27" s="20" t="n">
        <f aca="false">SUM(B27:M27)</f>
        <v>6072.2</v>
      </c>
      <c r="O27" s="28"/>
      <c r="P27" s="28"/>
    </row>
    <row r="28" customFormat="false" ht="15" hidden="false" customHeight="false" outlineLevel="0" collapsed="false">
      <c r="A28" s="0" t="s">
        <v>39</v>
      </c>
      <c r="B28" s="17"/>
      <c r="C28" s="17" t="n">
        <v>554.11</v>
      </c>
      <c r="D28" s="18" t="n">
        <v>544.11</v>
      </c>
      <c r="E28" s="17"/>
      <c r="F28" s="17" t="n">
        <v>492.55</v>
      </c>
      <c r="G28" s="17" t="n">
        <v>492.55</v>
      </c>
      <c r="H28" s="17"/>
      <c r="I28" s="17"/>
      <c r="J28" s="17" t="n">
        <v>462.68</v>
      </c>
      <c r="K28" s="17" t="n">
        <v>472.68</v>
      </c>
      <c r="L28" s="19" t="n">
        <v>472.2</v>
      </c>
      <c r="M28" s="17" t="n">
        <v>472</v>
      </c>
      <c r="N28" s="20" t="n">
        <f aca="false">SUM(B28:M28)</f>
        <v>3962.88</v>
      </c>
      <c r="O28" s="28"/>
      <c r="P28" s="28"/>
    </row>
    <row r="29" customFormat="false" ht="15" hidden="false" customHeight="false" outlineLevel="0" collapsed="false">
      <c r="A29" s="0" t="s">
        <v>40</v>
      </c>
      <c r="B29" s="17" t="n">
        <v>412.14</v>
      </c>
      <c r="C29" s="17" t="n">
        <v>605.64</v>
      </c>
      <c r="D29" s="18"/>
      <c r="E29" s="17"/>
      <c r="F29" s="17"/>
      <c r="G29" s="17"/>
      <c r="H29" s="17"/>
      <c r="I29" s="17"/>
      <c r="J29" s="17"/>
      <c r="K29" s="17"/>
      <c r="L29" s="19"/>
      <c r="M29" s="17"/>
      <c r="N29" s="20" t="n">
        <f aca="false">SUM(B29:M29)</f>
        <v>1017.78</v>
      </c>
      <c r="O29" s="28"/>
      <c r="P29" s="28"/>
    </row>
    <row r="30" customFormat="false" ht="15" hidden="false" customHeight="false" outlineLevel="0" collapsed="false">
      <c r="A30" s="0" t="s">
        <v>41</v>
      </c>
      <c r="B30" s="17" t="n">
        <f aca="false">1189</f>
        <v>1189</v>
      </c>
      <c r="C30" s="17" t="n">
        <v>1090</v>
      </c>
      <c r="D30" s="18" t="n">
        <v>180</v>
      </c>
      <c r="E30" s="17"/>
      <c r="F30" s="17"/>
      <c r="G30" s="17"/>
      <c r="H30" s="17"/>
      <c r="I30" s="17"/>
      <c r="J30" s="17"/>
      <c r="K30" s="17"/>
      <c r="L30" s="19"/>
      <c r="M30" s="17" t="n">
        <f aca="false">500+900</f>
        <v>1400</v>
      </c>
      <c r="N30" s="20" t="n">
        <f aca="false">SUM(B30:M30)</f>
        <v>3859</v>
      </c>
      <c r="O30" s="28"/>
      <c r="P30" s="28"/>
    </row>
    <row r="31" customFormat="false" ht="15" hidden="false" customHeight="false" outlineLevel="0" collapsed="false">
      <c r="A31" s="0" t="s">
        <v>42</v>
      </c>
      <c r="B31" s="17" t="n">
        <f aca="false">1462.36+2805.71</f>
        <v>4268.07</v>
      </c>
      <c r="C31" s="17"/>
      <c r="D31" s="18" t="n">
        <v>3138.08</v>
      </c>
      <c r="E31" s="17" t="n">
        <v>3130.08</v>
      </c>
      <c r="F31" s="17" t="n">
        <f aca="false">3060.14+2258.22</f>
        <v>5318.36</v>
      </c>
      <c r="G31" s="17" t="n">
        <v>2735.55</v>
      </c>
      <c r="H31" s="17" t="n">
        <v>2893.38</v>
      </c>
      <c r="I31" s="17" t="n">
        <v>3318.93</v>
      </c>
      <c r="J31" s="17" t="n">
        <v>3318.93</v>
      </c>
      <c r="K31" s="17" t="n">
        <v>3351.63</v>
      </c>
      <c r="L31" s="19" t="n">
        <f aca="false">83.99+2890.83</f>
        <v>2974.82</v>
      </c>
      <c r="M31" s="17" t="n">
        <f aca="false">48.4+3170.4</f>
        <v>3218.8</v>
      </c>
      <c r="N31" s="20" t="n">
        <f aca="false">SUM(B31:M31)</f>
        <v>37666.63</v>
      </c>
      <c r="O31" s="28"/>
      <c r="P31" s="28"/>
    </row>
    <row r="32" customFormat="false" ht="15" hidden="false" customHeight="false" outlineLevel="0" collapsed="false">
      <c r="A32" s="0" t="s">
        <v>43</v>
      </c>
      <c r="B32" s="17" t="n">
        <f aca="false">1.35+8.6+8.6+1.35+1.35+1.35+1.35+2.85+39+2.85+1.35+2.85+2.85+2</f>
        <v>77.7</v>
      </c>
      <c r="C32" s="17" t="n">
        <f aca="false">2+4+0.35+2+50+2+30+8.8+8.8+8.8+8.8+41+3.8+3.8+2+3.8</f>
        <v>179.95</v>
      </c>
      <c r="D32" s="18" t="n">
        <f aca="false">6+8.8+8.8+3.8+5.8+2+43+2+2</f>
        <v>82.2</v>
      </c>
      <c r="E32" s="17" t="n">
        <f aca="false">2+8.8+8.8+3.8+8.8+30+43+45.8</f>
        <v>151</v>
      </c>
      <c r="F32" s="17" t="n">
        <f aca="false">2+35.2+7.6+4+3.8+45</f>
        <v>97.6</v>
      </c>
      <c r="G32" s="17" t="n">
        <f aca="false">2+26.4+3.8+4+44.8+4</f>
        <v>85</v>
      </c>
      <c r="H32" s="17" t="n">
        <f aca="false">2+35.2+2+7.8+43</f>
        <v>90</v>
      </c>
      <c r="I32" s="17" t="n">
        <f aca="false">9.4+9.4+42+2.35</f>
        <v>63.15</v>
      </c>
      <c r="J32" s="17" t="n">
        <f aca="false">37.6+42</f>
        <v>79.6</v>
      </c>
      <c r="K32" s="17" t="n">
        <f aca="false">42+42+56.4</f>
        <v>140.4</v>
      </c>
      <c r="L32" s="19" t="n">
        <f aca="false">9.4+9.4+9.4+9.4+42</f>
        <v>79.6</v>
      </c>
      <c r="M32" s="17" t="n">
        <f aca="false">47+42</f>
        <v>89</v>
      </c>
      <c r="N32" s="20" t="n">
        <f aca="false">SUM(B32:M32)</f>
        <v>1215.2</v>
      </c>
      <c r="O32" s="28"/>
      <c r="P32" s="28"/>
    </row>
    <row r="33" customFormat="false" ht="15" hidden="false" customHeight="false" outlineLevel="0" collapsed="false">
      <c r="A33" s="0" t="s">
        <v>44</v>
      </c>
      <c r="B33" s="17"/>
      <c r="C33" s="17"/>
      <c r="D33" s="18"/>
      <c r="E33" s="17"/>
      <c r="F33" s="17"/>
      <c r="G33" s="17"/>
      <c r="H33" s="17"/>
      <c r="I33" s="17"/>
      <c r="J33" s="17"/>
      <c r="K33" s="17"/>
      <c r="L33" s="19"/>
      <c r="M33" s="17"/>
      <c r="N33" s="20" t="n">
        <f aca="false">SUM(B33:M33)</f>
        <v>0</v>
      </c>
      <c r="O33" s="28"/>
      <c r="P33" s="28"/>
    </row>
    <row r="34" customFormat="false" ht="15" hidden="false" customHeight="false" outlineLevel="0" collapsed="false">
      <c r="A34" s="0" t="s">
        <v>45</v>
      </c>
      <c r="B34" s="17" t="n">
        <v>4058.49</v>
      </c>
      <c r="C34" s="17" t="n">
        <v>4046.06</v>
      </c>
      <c r="D34" s="18" t="n">
        <v>4046.06</v>
      </c>
      <c r="E34" s="17" t="n">
        <v>4046.06</v>
      </c>
      <c r="F34" s="17" t="n">
        <v>4046.06</v>
      </c>
      <c r="G34" s="17" t="n">
        <v>2046.06</v>
      </c>
      <c r="H34" s="17" t="n">
        <v>4046.06</v>
      </c>
      <c r="I34" s="17" t="n">
        <v>4039.9</v>
      </c>
      <c r="J34" s="17" t="n">
        <v>4039.9</v>
      </c>
      <c r="K34" s="17" t="n">
        <v>4046.06</v>
      </c>
      <c r="L34" s="19" t="n">
        <v>4046.06</v>
      </c>
      <c r="M34" s="17" t="n">
        <v>4046.06</v>
      </c>
      <c r="N34" s="20" t="n">
        <f aca="false">SUM(B34:M34)</f>
        <v>46552.83</v>
      </c>
      <c r="O34" s="28"/>
      <c r="P34" s="28"/>
    </row>
    <row r="35" customFormat="false" ht="15" hidden="false" customHeight="false" outlineLevel="0" collapsed="false">
      <c r="A35" s="0" t="s">
        <v>46</v>
      </c>
      <c r="B35" s="17"/>
      <c r="C35" s="17"/>
      <c r="D35" s="18"/>
      <c r="E35" s="17"/>
      <c r="F35" s="17"/>
      <c r="G35" s="17"/>
      <c r="H35" s="17"/>
      <c r="I35" s="17"/>
      <c r="J35" s="17"/>
      <c r="K35" s="17"/>
      <c r="L35" s="19"/>
      <c r="M35" s="17"/>
      <c r="N35" s="20" t="n">
        <f aca="false">SUM(B35:M35)</f>
        <v>0</v>
      </c>
      <c r="O35" s="28"/>
      <c r="P35" s="28"/>
    </row>
    <row r="36" customFormat="false" ht="15" hidden="false" customHeight="false" outlineLevel="0" collapsed="false">
      <c r="A36" s="0" t="s">
        <v>47</v>
      </c>
      <c r="B36" s="17"/>
      <c r="C36" s="17"/>
      <c r="D36" s="18"/>
      <c r="E36" s="17"/>
      <c r="F36" s="17"/>
      <c r="G36" s="17"/>
      <c r="H36" s="17"/>
      <c r="I36" s="17"/>
      <c r="J36" s="17"/>
      <c r="K36" s="17"/>
      <c r="L36" s="19"/>
      <c r="M36" s="17"/>
      <c r="N36" s="20" t="n">
        <f aca="false">SUM(B36:M36)</f>
        <v>0</v>
      </c>
      <c r="O36" s="28"/>
      <c r="P36" s="28"/>
    </row>
    <row r="37" customFormat="false" ht="15" hidden="false" customHeight="false" outlineLevel="0" collapsed="false">
      <c r="A37" s="0" t="s">
        <v>48</v>
      </c>
      <c r="B37" s="17"/>
      <c r="C37" s="17"/>
      <c r="D37" s="18"/>
      <c r="E37" s="17"/>
      <c r="F37" s="17"/>
      <c r="G37" s="17"/>
      <c r="H37" s="17"/>
      <c r="I37" s="17"/>
      <c r="J37" s="17"/>
      <c r="K37" s="17"/>
      <c r="L37" s="19"/>
      <c r="M37" s="17"/>
      <c r="N37" s="20" t="n">
        <f aca="false">SUM(B37:M37)</f>
        <v>0</v>
      </c>
      <c r="O37" s="28"/>
      <c r="P37" s="28"/>
    </row>
    <row r="38" customFormat="false" ht="15" hidden="false" customHeight="false" outlineLevel="0" collapsed="false">
      <c r="A38" s="0" t="s">
        <v>49</v>
      </c>
      <c r="B38" s="17" t="n">
        <f aca="false">74.53+250.12</f>
        <v>324.65</v>
      </c>
      <c r="C38" s="17" t="n">
        <f aca="false">75.26+329.55</f>
        <v>404.81</v>
      </c>
      <c r="D38" s="18" t="n">
        <f aca="false">76.79+359.62</f>
        <v>436.41</v>
      </c>
      <c r="E38" s="17" t="n">
        <f aca="false">76.7+119.02</f>
        <v>195.72</v>
      </c>
      <c r="F38" s="17" t="n">
        <f aca="false">69.53+162.13</f>
        <v>231.66</v>
      </c>
      <c r="G38" s="17" t="n">
        <f aca="false">72.34+308.58</f>
        <v>380.92</v>
      </c>
      <c r="H38" s="17" t="n">
        <f aca="false">68.84+369.28</f>
        <v>438.12</v>
      </c>
      <c r="I38" s="17" t="n">
        <f aca="false">72.12+300.17</f>
        <v>372.29</v>
      </c>
      <c r="J38" s="17" t="n">
        <f aca="false">77.63+340.58</f>
        <v>418.21</v>
      </c>
      <c r="K38" s="17" t="n">
        <f aca="false">80.46+271.59</f>
        <v>352.05</v>
      </c>
      <c r="L38" s="19" t="n">
        <f aca="false">81.9+246.9</f>
        <v>328.8</v>
      </c>
      <c r="M38" s="17" t="n">
        <f aca="false">81.37+441.23</f>
        <v>522.6</v>
      </c>
      <c r="N38" s="20" t="n">
        <f aca="false">SUM(B38:M38)</f>
        <v>4406.24</v>
      </c>
      <c r="O38" s="28"/>
      <c r="P38" s="28"/>
    </row>
    <row r="39" customFormat="false" ht="15" hidden="false" customHeight="false" outlineLevel="0" collapsed="false">
      <c r="A39" s="0" t="s">
        <v>50</v>
      </c>
      <c r="B39" s="17"/>
      <c r="C39" s="17" t="n">
        <v>176</v>
      </c>
      <c r="D39" s="18" t="n">
        <v>237</v>
      </c>
      <c r="E39" s="17"/>
      <c r="F39" s="17"/>
      <c r="G39" s="17" t="n">
        <v>157</v>
      </c>
      <c r="H39" s="17" t="n">
        <v>221</v>
      </c>
      <c r="I39" s="17"/>
      <c r="J39" s="17"/>
      <c r="K39" s="17"/>
      <c r="L39" s="19"/>
      <c r="M39" s="17"/>
      <c r="N39" s="20" t="n">
        <f aca="false">SUM(B39:M39)</f>
        <v>791</v>
      </c>
      <c r="O39" s="28"/>
      <c r="P39" s="28"/>
    </row>
    <row r="40" customFormat="false" ht="15" hidden="false" customHeight="false" outlineLevel="0" collapsed="false">
      <c r="A40" s="0" t="s">
        <v>51</v>
      </c>
      <c r="B40" s="17" t="n">
        <f aca="false">180+200+1000+190+280</f>
        <v>1850</v>
      </c>
      <c r="C40" s="17" t="n">
        <f aca="false">1100+650</f>
        <v>1750</v>
      </c>
      <c r="D40" s="18" t="n">
        <f aca="false">400+1100</f>
        <v>1500</v>
      </c>
      <c r="E40" s="17" t="n">
        <v>550</v>
      </c>
      <c r="F40" s="17" t="n">
        <f aca="false">250+840+70</f>
        <v>1160</v>
      </c>
      <c r="G40" s="17" t="n">
        <v>1300</v>
      </c>
      <c r="H40" s="17" t="n">
        <v>120</v>
      </c>
      <c r="I40" s="17"/>
      <c r="J40" s="17"/>
      <c r="K40" s="17" t="n">
        <v>405</v>
      </c>
      <c r="L40" s="19"/>
      <c r="M40" s="17" t="n">
        <v>138.2</v>
      </c>
      <c r="N40" s="20" t="n">
        <f aca="false">SUM(B40:M40)</f>
        <v>8773.2</v>
      </c>
      <c r="O40" s="28"/>
      <c r="P40" s="28"/>
    </row>
    <row r="41" customFormat="false" ht="15" hidden="false" customHeight="false" outlineLevel="0" collapsed="false">
      <c r="A41" s="0" t="s">
        <v>52</v>
      </c>
      <c r="B41" s="17"/>
      <c r="C41" s="17"/>
      <c r="D41" s="18"/>
      <c r="E41" s="17"/>
      <c r="F41" s="17"/>
      <c r="G41" s="17"/>
      <c r="H41" s="17"/>
      <c r="I41" s="17"/>
      <c r="J41" s="17"/>
      <c r="K41" s="17"/>
      <c r="L41" s="19"/>
      <c r="M41" s="17"/>
      <c r="N41" s="20" t="n">
        <f aca="false">SUM(B41:M41)</f>
        <v>0</v>
      </c>
      <c r="O41" s="28"/>
      <c r="P41" s="28"/>
    </row>
    <row r="42" customFormat="false" ht="15" hidden="false" customHeight="false" outlineLevel="0" collapsed="false">
      <c r="A42" s="0" t="s">
        <v>53</v>
      </c>
      <c r="B42" s="17" t="n">
        <v>27.9</v>
      </c>
      <c r="C42" s="17" t="n">
        <v>27.9</v>
      </c>
      <c r="D42" s="18" t="n">
        <f aca="false">23.41+29.95+28+25+0.4</f>
        <v>106.76</v>
      </c>
      <c r="E42" s="17" t="n">
        <v>29.95</v>
      </c>
      <c r="F42" s="17" t="n">
        <v>29.95</v>
      </c>
      <c r="G42" s="17"/>
      <c r="H42" s="17" t="n">
        <v>29.95</v>
      </c>
      <c r="I42" s="17"/>
      <c r="J42" s="17" t="n">
        <v>29.95</v>
      </c>
      <c r="K42" s="17"/>
      <c r="L42" s="19" t="n">
        <f aca="false">29.95+29.95</f>
        <v>59.9</v>
      </c>
      <c r="M42" s="17" t="n">
        <v>29.95</v>
      </c>
      <c r="N42" s="20" t="n">
        <f aca="false">SUM(B42:M42)</f>
        <v>372.21</v>
      </c>
      <c r="O42" s="28"/>
      <c r="P42" s="28"/>
    </row>
    <row r="43" customFormat="false" ht="15" hidden="false" customHeight="false" outlineLevel="0" collapsed="false">
      <c r="A43" s="0" t="s">
        <v>54</v>
      </c>
      <c r="B43" s="17"/>
      <c r="C43" s="17"/>
      <c r="D43" s="18"/>
      <c r="E43" s="17"/>
      <c r="F43" s="17"/>
      <c r="G43" s="17"/>
      <c r="H43" s="17"/>
      <c r="I43" s="17"/>
      <c r="J43" s="17"/>
      <c r="K43" s="17"/>
      <c r="L43" s="19"/>
      <c r="M43" s="17"/>
      <c r="N43" s="20" t="n">
        <f aca="false">SUM(B43:M43)</f>
        <v>0</v>
      </c>
      <c r="O43" s="28"/>
      <c r="P43" s="28"/>
    </row>
    <row r="44" customFormat="false" ht="15.75" hidden="false" customHeight="false" outlineLevel="0" collapsed="false">
      <c r="A44" s="0" t="s">
        <v>55</v>
      </c>
      <c r="B44" s="17"/>
      <c r="C44" s="17"/>
      <c r="D44" s="18"/>
      <c r="E44" s="17" t="n">
        <v>2300</v>
      </c>
      <c r="F44" s="17" t="n">
        <f aca="false">2000+4200</f>
        <v>6200</v>
      </c>
      <c r="G44" s="17" t="n">
        <v>2000</v>
      </c>
      <c r="H44" s="17" t="n">
        <v>2000</v>
      </c>
      <c r="I44" s="17" t="n">
        <v>2000</v>
      </c>
      <c r="J44" s="17"/>
      <c r="K44" s="17"/>
      <c r="L44" s="19"/>
      <c r="M44" s="17"/>
      <c r="N44" s="20" t="n">
        <f aca="false">SUM(B44:M44)</f>
        <v>14500</v>
      </c>
      <c r="O44" s="28"/>
      <c r="P44" s="28"/>
    </row>
    <row r="45" s="5" customFormat="true" ht="15.75" hidden="false" customHeight="false" outlineLevel="0" collapsed="false">
      <c r="A45" s="6" t="s">
        <v>56</v>
      </c>
      <c r="B45" s="22" t="n">
        <f aca="false">SUM(B11:B42)</f>
        <v>26892.63</v>
      </c>
      <c r="C45" s="22" t="n">
        <f aca="false">SUM(C11:C44)</f>
        <v>23673.83</v>
      </c>
      <c r="D45" s="23" t="n">
        <f aca="false">SUM(D11:D44)</f>
        <v>24434.54</v>
      </c>
      <c r="E45" s="22" t="n">
        <f aca="false">SUM(E11:E44)</f>
        <v>21942.03</v>
      </c>
      <c r="F45" s="22" t="n">
        <f aca="false">SUM(F11:F44)</f>
        <v>28921.91</v>
      </c>
      <c r="G45" s="22" t="n">
        <f aca="false">SUM(G11:G44)</f>
        <v>20379.54</v>
      </c>
      <c r="H45" s="22" t="n">
        <f aca="false">SUM(H11:H44)</f>
        <v>22648.32</v>
      </c>
      <c r="I45" s="22" t="n">
        <f aca="false">SUM(I11:I44)</f>
        <v>20274.55</v>
      </c>
      <c r="J45" s="22" t="n">
        <f aca="false">SUM(J11:J44)</f>
        <v>20762.77</v>
      </c>
      <c r="K45" s="22" t="n">
        <f aca="false">SUM(K11:K44)</f>
        <v>20512.45</v>
      </c>
      <c r="L45" s="24" t="n">
        <f aca="false">SUM(L11:L44)</f>
        <v>19751.41</v>
      </c>
      <c r="M45" s="22" t="n">
        <f aca="false">SUM(M11:M44)</f>
        <v>21011.64</v>
      </c>
      <c r="N45" s="25" t="n">
        <f aca="false">SUM(N11:N44)</f>
        <v>271205.62</v>
      </c>
      <c r="O45" s="31"/>
      <c r="P45" s="31"/>
    </row>
    <row r="46" customFormat="false" ht="15.75" hidden="false" customHeight="false" outlineLevel="0" collapsed="false">
      <c r="A46" s="32" t="s">
        <v>57</v>
      </c>
      <c r="B46" s="22" t="n">
        <f aca="false">B8-B45</f>
        <v>1984.61999999999</v>
      </c>
      <c r="C46" s="22" t="n">
        <f aca="false">C8-C45</f>
        <v>3853.72999999999</v>
      </c>
      <c r="D46" s="23" t="n">
        <f aca="false">D8-D45</f>
        <v>3068.06</v>
      </c>
      <c r="E46" s="23" t="n">
        <f aca="false">E8-E45</f>
        <v>2759.77</v>
      </c>
      <c r="F46" s="23" t="n">
        <f aca="false">F8-F45</f>
        <v>1443.32</v>
      </c>
      <c r="G46" s="23" t="n">
        <f aca="false">G8-G45</f>
        <v>2126.79</v>
      </c>
      <c r="H46" s="23" t="n">
        <f aca="false">H8-H45</f>
        <v>551.77</v>
      </c>
      <c r="I46" s="23" t="n">
        <f aca="false">I8-I45</f>
        <v>547.850000000002</v>
      </c>
      <c r="J46" s="23" t="n">
        <f aca="false">J8-J45</f>
        <v>232.82</v>
      </c>
      <c r="K46" s="23" t="n">
        <f aca="false">K8-K45</f>
        <v>102.639999999999</v>
      </c>
      <c r="L46" s="33" t="n">
        <f aca="false">L8-L45</f>
        <v>814.349999999999</v>
      </c>
      <c r="M46" s="23" t="n">
        <f aca="false">M8-M45</f>
        <v>316.689999999995</v>
      </c>
      <c r="N46" s="34"/>
      <c r="O46" s="28"/>
      <c r="P46" s="28"/>
    </row>
    <row r="47" customFormat="false" ht="15" hidden="false" customHeight="false" outlineLevel="0" collapsed="false">
      <c r="O47" s="28"/>
      <c r="P47" s="28"/>
    </row>
    <row r="49" customFormat="false" ht="15.75" hidden="false" customHeight="false" outlineLevel="0" collapsed="false">
      <c r="A49" s="35" t="s">
        <v>58</v>
      </c>
      <c r="B49" s="36" t="s">
        <v>2</v>
      </c>
      <c r="C49" s="36" t="s">
        <v>3</v>
      </c>
      <c r="D49" s="36" t="s">
        <v>59</v>
      </c>
      <c r="E49" s="36" t="s">
        <v>5</v>
      </c>
      <c r="F49" s="36" t="s">
        <v>60</v>
      </c>
      <c r="G49" s="36" t="s">
        <v>7</v>
      </c>
      <c r="H49" s="36" t="s">
        <v>8</v>
      </c>
      <c r="I49" s="36" t="s">
        <v>9</v>
      </c>
      <c r="J49" s="36" t="s">
        <v>10</v>
      </c>
      <c r="K49" s="36" t="s">
        <v>11</v>
      </c>
      <c r="L49" s="36" t="s">
        <v>12</v>
      </c>
      <c r="M49" s="36" t="s">
        <v>13</v>
      </c>
      <c r="N49" s="37" t="s">
        <v>61</v>
      </c>
    </row>
    <row r="50" customFormat="false" ht="15" hidden="false" customHeight="false" outlineLevel="0" collapsed="false">
      <c r="A50" s="38" t="s">
        <v>62</v>
      </c>
      <c r="B50" s="39" t="n">
        <v>1370.88</v>
      </c>
      <c r="C50" s="39" t="n">
        <f aca="false">B74</f>
        <v>3795.69</v>
      </c>
      <c r="D50" s="39" t="n">
        <f aca="false">C74</f>
        <v>3168.69</v>
      </c>
      <c r="E50" s="39" t="n">
        <f aca="false">D74</f>
        <v>4496.28</v>
      </c>
      <c r="F50" s="39" t="n">
        <f aca="false">E74</f>
        <v>1496.28</v>
      </c>
      <c r="G50" s="39" t="n">
        <f aca="false">F74</f>
        <v>3781.89</v>
      </c>
      <c r="H50" s="39" t="n">
        <f aca="false">G74</f>
        <v>2724.55</v>
      </c>
      <c r="I50" s="39" t="n">
        <f aca="false">H74</f>
        <v>1553.1</v>
      </c>
      <c r="J50" s="39" t="n">
        <f aca="false">I74</f>
        <v>1921</v>
      </c>
      <c r="K50" s="39" t="n">
        <f aca="false">J74</f>
        <v>2859.82</v>
      </c>
      <c r="L50" s="39" t="n">
        <f aca="false">K74</f>
        <v>1133.05</v>
      </c>
      <c r="M50" s="39" t="n">
        <f aca="false">L74</f>
        <v>4549.21</v>
      </c>
      <c r="N50" s="37" t="n">
        <f aca="false">SUM(B50:M50)</f>
        <v>32850.44</v>
      </c>
    </row>
    <row r="51" customFormat="false" ht="15" hidden="false" customHeight="false" outlineLevel="0" collapsed="false">
      <c r="A51" s="40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7" t="n">
        <f aca="false">SUM(B51:M51)</f>
        <v>0</v>
      </c>
    </row>
    <row r="52" customFormat="false" ht="15" hidden="false" customHeight="false" outlineLevel="0" collapsed="false">
      <c r="A52" s="38" t="s">
        <v>63</v>
      </c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7" t="n">
        <f aca="false">SUM(B52:M52)</f>
        <v>0</v>
      </c>
    </row>
    <row r="53" customFormat="false" ht="15" hidden="false" customHeight="false" outlineLevel="0" collapsed="false">
      <c r="A53" s="41" t="s">
        <v>64</v>
      </c>
      <c r="B53" s="39" t="n">
        <v>1230.85</v>
      </c>
      <c r="C53" s="39" t="n">
        <v>625.38</v>
      </c>
      <c r="D53" s="39"/>
      <c r="E53" s="39" t="n">
        <v>79.55</v>
      </c>
      <c r="F53" s="39" t="n">
        <v>66.59</v>
      </c>
      <c r="G53" s="39" t="n">
        <v>239.54</v>
      </c>
      <c r="H53" s="39"/>
      <c r="I53" s="39"/>
      <c r="J53" s="39" t="n">
        <v>54.75</v>
      </c>
      <c r="K53" s="39" t="n">
        <v>155.71</v>
      </c>
      <c r="L53" s="39" t="n">
        <f aca="false">181.2+10.49</f>
        <v>191.69</v>
      </c>
      <c r="M53" s="39"/>
      <c r="N53" s="37" t="n">
        <f aca="false">SUM(B53:M53)</f>
        <v>2644.06</v>
      </c>
    </row>
    <row r="54" customFormat="false" ht="15" hidden="false" customHeight="false" outlineLevel="0" collapsed="false">
      <c r="A54" s="40" t="s">
        <v>65</v>
      </c>
      <c r="B54" s="39" t="n">
        <f aca="false">1556.69+475+400</f>
        <v>2431.69</v>
      </c>
      <c r="C54" s="39" t="n">
        <f aca="false">570+575</f>
        <v>1145</v>
      </c>
      <c r="D54" s="39" t="n">
        <f aca="false">175+175+175+300+150+50+150+350+50+350</f>
        <v>1925</v>
      </c>
      <c r="E54" s="39" t="n">
        <f aca="false">1075+175+150+150</f>
        <v>1550</v>
      </c>
      <c r="F54" s="39" t="n">
        <f aca="false">350+350+150+50+150+700</f>
        <v>1750</v>
      </c>
      <c r="G54" s="39" t="n">
        <f aca="false">550+175+175+150+600+400+550</f>
        <v>2600</v>
      </c>
      <c r="H54" s="39" t="n">
        <f aca="false">350+350+100+500+50</f>
        <v>1350</v>
      </c>
      <c r="I54" s="39" t="n">
        <f aca="false">200+200+350+400+200+150+350+100+100+200+200+350+350</f>
        <v>3150</v>
      </c>
      <c r="J54" s="39" t="n">
        <f aca="false">350+100+150+150+175</f>
        <v>925</v>
      </c>
      <c r="K54" s="39" t="n">
        <f aca="false">350+350+150+200+150</f>
        <v>1200</v>
      </c>
      <c r="L54" s="39" t="n">
        <f aca="false">350+50+550+550+2350+350+400+550+300</f>
        <v>5450</v>
      </c>
      <c r="M54" s="39" t="n">
        <f aca="false">500+500+500+550+450</f>
        <v>2500</v>
      </c>
      <c r="N54" s="37" t="n">
        <f aca="false">SUM(B54:M54)</f>
        <v>25976.69</v>
      </c>
    </row>
    <row r="55" customFormat="false" ht="15" hidden="false" customHeight="false" outlineLevel="0" collapsed="false">
      <c r="A55" s="40" t="s">
        <v>66</v>
      </c>
      <c r="B55" s="39" t="n">
        <f aca="false">773.8+767.83+112.44</f>
        <v>1654.07</v>
      </c>
      <c r="C55" s="39" t="n">
        <f aca="false">112.44+761.35+767.83</f>
        <v>1641.62</v>
      </c>
      <c r="D55" s="39" t="n">
        <f aca="false">767.83+112.44+1119.1</f>
        <v>1999.37</v>
      </c>
      <c r="E55" s="39" t="n">
        <f aca="false">977.89+112.44</f>
        <v>1090.33</v>
      </c>
      <c r="F55" s="39" t="n">
        <f aca="false">112.44+767.83+811.17</f>
        <v>1691.44</v>
      </c>
      <c r="G55" s="39" t="n">
        <f aca="false">112.44+825.78</f>
        <v>938.22</v>
      </c>
      <c r="H55" s="39" t="n">
        <f aca="false">112.44+835.52+1051.33</f>
        <v>1999.29</v>
      </c>
      <c r="I55" s="39" t="n">
        <f aca="false">112.44+1105.92+835.52</f>
        <v>2053.88</v>
      </c>
      <c r="J55" s="39" t="n">
        <f aca="false">112.44+515.59+1105.2+835.52</f>
        <v>2568.75</v>
      </c>
      <c r="K55" s="39" t="n">
        <f aca="false">112.44+1085.52+925.2</f>
        <v>2123.16</v>
      </c>
      <c r="L55" s="39" t="n">
        <v>2032.57</v>
      </c>
      <c r="M55" s="39" t="n">
        <f aca="false">1015.2+15+515.59+112.44+1336.15+19.12+523</f>
        <v>3536.5</v>
      </c>
      <c r="N55" s="37" t="n">
        <f aca="false">SUM(B55:M55)</f>
        <v>23329.2</v>
      </c>
    </row>
    <row r="56" customFormat="false" ht="15" hidden="false" customHeight="false" outlineLevel="0" collapsed="false">
      <c r="A56" s="40" t="s">
        <v>67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7"/>
    </row>
    <row r="57" customFormat="false" ht="15" hidden="false" customHeight="false" outlineLevel="0" collapsed="false">
      <c r="A57" s="40" t="s">
        <v>68</v>
      </c>
      <c r="B57" s="39"/>
      <c r="C57" s="39"/>
      <c r="D57" s="39" t="n">
        <v>434.22</v>
      </c>
      <c r="E57" s="39" t="n">
        <v>228.58</v>
      </c>
      <c r="F57" s="39" t="n">
        <v>228.58</v>
      </c>
      <c r="G57" s="39" t="n">
        <v>243.61</v>
      </c>
      <c r="H57" s="39" t="n">
        <v>243.61</v>
      </c>
      <c r="I57" s="39" t="n">
        <v>246.06</v>
      </c>
      <c r="J57" s="39" t="n">
        <v>246.06</v>
      </c>
      <c r="K57" s="39" t="n">
        <v>246.06</v>
      </c>
      <c r="L57" s="39" t="n">
        <v>246.06</v>
      </c>
      <c r="M57" s="39" t="n">
        <f aca="false">246.06+4500+246.06</f>
        <v>4992.12</v>
      </c>
      <c r="N57" s="37" t="n">
        <f aca="false">SUM(B57:M57)</f>
        <v>7354.96</v>
      </c>
    </row>
    <row r="58" customFormat="false" ht="15" hidden="false" customHeight="false" outlineLevel="0" collapsed="false">
      <c r="A58" s="38" t="s">
        <v>69</v>
      </c>
      <c r="B58" s="39" t="n">
        <f aca="false">SUM(B53:B57)</f>
        <v>5316.61</v>
      </c>
      <c r="C58" s="39" t="n">
        <f aca="false">SUM(C53:C57)</f>
        <v>3412</v>
      </c>
      <c r="D58" s="39" t="n">
        <f aca="false">SUM(D53:D57)</f>
        <v>4358.59</v>
      </c>
      <c r="E58" s="39" t="n">
        <f aca="false">SUM(E53:E57)</f>
        <v>2948.46</v>
      </c>
      <c r="F58" s="39" t="n">
        <f aca="false">SUM(F53:F57)</f>
        <v>3736.61</v>
      </c>
      <c r="G58" s="39" t="n">
        <f aca="false">SUM(G53:G57)</f>
        <v>4021.37</v>
      </c>
      <c r="H58" s="39" t="n">
        <f aca="false">SUM(H53:H57)</f>
        <v>3592.9</v>
      </c>
      <c r="I58" s="39" t="n">
        <f aca="false">SUM(I53:I57)</f>
        <v>5449.94</v>
      </c>
      <c r="J58" s="39" t="n">
        <f aca="false">SUM(J53:J57)</f>
        <v>3794.56</v>
      </c>
      <c r="K58" s="39" t="n">
        <f aca="false">SUM(K53:K57)</f>
        <v>3724.93</v>
      </c>
      <c r="L58" s="39" t="n">
        <f aca="false">SUM(L53:L57)</f>
        <v>7920.32</v>
      </c>
      <c r="M58" s="39" t="n">
        <f aca="false">SUM(M53:M57)</f>
        <v>11028.62</v>
      </c>
      <c r="N58" s="37" t="n">
        <f aca="false">SUM(B58:M58)</f>
        <v>59304.91</v>
      </c>
    </row>
    <row r="59" customFormat="false" ht="15" hidden="false" customHeight="false" outlineLevel="0" collapsed="false">
      <c r="A59" s="38" t="s">
        <v>70</v>
      </c>
      <c r="B59" s="39" t="n">
        <f aca="false">B50+B58</f>
        <v>6687.49</v>
      </c>
      <c r="C59" s="39" t="n">
        <f aca="false">C50+C58</f>
        <v>7207.69</v>
      </c>
      <c r="D59" s="39" t="n">
        <f aca="false">D50+D58</f>
        <v>7527.28</v>
      </c>
      <c r="E59" s="39" t="n">
        <f aca="false">E50+E58</f>
        <v>7444.74</v>
      </c>
      <c r="F59" s="39" t="n">
        <f aca="false">F50+F58</f>
        <v>5232.89</v>
      </c>
      <c r="G59" s="39" t="n">
        <f aca="false">G50+G58</f>
        <v>7803.26</v>
      </c>
      <c r="H59" s="39" t="n">
        <f aca="false">H50+H58</f>
        <v>6317.45</v>
      </c>
      <c r="I59" s="39" t="n">
        <f aca="false">I50+I58</f>
        <v>7003.04</v>
      </c>
      <c r="J59" s="39" t="n">
        <f aca="false">J50+J58</f>
        <v>5715.56</v>
      </c>
      <c r="K59" s="39" t="n">
        <f aca="false">K50+K58</f>
        <v>6584.75</v>
      </c>
      <c r="L59" s="39" t="n">
        <f aca="false">L50+L58</f>
        <v>9053.37</v>
      </c>
      <c r="M59" s="39" t="n">
        <f aca="false">M50+M58</f>
        <v>15577.83</v>
      </c>
      <c r="N59" s="37" t="n">
        <f aca="false">SUM(B59:M59)</f>
        <v>92155.35</v>
      </c>
    </row>
    <row r="60" customFormat="false" ht="15" hidden="false" customHeight="false" outlineLevel="0" collapsed="false">
      <c r="A60" s="40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7" t="n">
        <f aca="false">SUM(B60:M60)</f>
        <v>0</v>
      </c>
    </row>
    <row r="61" customFormat="false" ht="15" hidden="false" customHeight="false" outlineLevel="0" collapsed="false">
      <c r="A61" s="38" t="s">
        <v>21</v>
      </c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7" t="n">
        <f aca="false">SUM(B61:M61)</f>
        <v>0</v>
      </c>
    </row>
    <row r="62" customFormat="false" ht="15" hidden="false" customHeight="false" outlineLevel="0" collapsed="false">
      <c r="A62" s="40" t="s">
        <v>71</v>
      </c>
      <c r="B62" s="39" t="n">
        <v>1562.3</v>
      </c>
      <c r="C62" s="39" t="n">
        <v>1100</v>
      </c>
      <c r="D62" s="39" t="n">
        <v>600</v>
      </c>
      <c r="E62" s="39" t="n">
        <v>790</v>
      </c>
      <c r="F62" s="39"/>
      <c r="G62" s="39"/>
      <c r="H62" s="39"/>
      <c r="I62" s="39"/>
      <c r="J62" s="39"/>
      <c r="K62" s="39"/>
      <c r="L62" s="39"/>
      <c r="M62" s="39"/>
      <c r="N62" s="42" t="n">
        <f aca="false">SUM(B62:M62)</f>
        <v>4052.3</v>
      </c>
    </row>
    <row r="63" customFormat="false" ht="13.8" hidden="false" customHeight="false" outlineLevel="0" collapsed="false">
      <c r="A63" s="40" t="s">
        <v>72</v>
      </c>
      <c r="B63" s="39" t="n">
        <v>69.5</v>
      </c>
      <c r="C63" s="39" t="n">
        <v>75</v>
      </c>
      <c r="D63" s="39" t="n">
        <f aca="false">75+3+3</f>
        <v>81</v>
      </c>
      <c r="E63" s="39" t="n">
        <v>75</v>
      </c>
      <c r="F63" s="39" t="n">
        <v>75</v>
      </c>
      <c r="G63" s="39" t="n">
        <f aca="false">34.5+75</f>
        <v>109.5</v>
      </c>
      <c r="H63" s="39" t="n">
        <v>75</v>
      </c>
      <c r="I63" s="39" t="n">
        <f aca="false">79+8.65</f>
        <v>87.65</v>
      </c>
      <c r="J63" s="39" t="n">
        <f aca="false">8.65+79</f>
        <v>87.65</v>
      </c>
      <c r="K63" s="39" t="n">
        <f aca="false">75+79</f>
        <v>154</v>
      </c>
      <c r="L63" s="39" t="n">
        <v>79</v>
      </c>
      <c r="M63" s="39" t="n">
        <f aca="false">69.2+79</f>
        <v>148.2</v>
      </c>
      <c r="N63" s="42" t="n">
        <f aca="false">SUM(B63:M63)</f>
        <v>1116.5</v>
      </c>
    </row>
    <row r="64" customFormat="false" ht="15" hidden="false" customHeight="false" outlineLevel="0" collapsed="false">
      <c r="A64" s="40" t="s">
        <v>73</v>
      </c>
      <c r="B64" s="39" t="n">
        <f aca="false">900+210+150</f>
        <v>1260</v>
      </c>
      <c r="C64" s="39"/>
      <c r="D64" s="39" t="n">
        <f aca="false">285+850+165</f>
        <v>1300</v>
      </c>
      <c r="E64" s="39"/>
      <c r="F64" s="39" t="n">
        <f aca="false">550+96+300</f>
        <v>946</v>
      </c>
      <c r="G64" s="39" t="n">
        <f aca="false">152+200+650</f>
        <v>1002</v>
      </c>
      <c r="H64" s="39" t="n">
        <f aca="false">353+1340+227+70+550</f>
        <v>2540</v>
      </c>
      <c r="I64" s="39" t="n">
        <f aca="false">95+240+33.85+163.4+810+95+150+374.25+230+129.08</f>
        <v>2320.58</v>
      </c>
      <c r="J64" s="39" t="n">
        <f aca="false">240+95</f>
        <v>335</v>
      </c>
      <c r="K64" s="39" t="n">
        <f aca="false">374.25+539+1320+300+20+810+150+300+82.15+350+37.38+34.63</f>
        <v>4317.41</v>
      </c>
      <c r="L64" s="39" t="n">
        <f aca="false">153+95+550+165.43+100+271+1000+550+200+120</f>
        <v>3204.43</v>
      </c>
      <c r="M64" s="39" t="n">
        <f aca="false">420+100+250+400+163.17+264+420+1200</f>
        <v>3217.17</v>
      </c>
      <c r="N64" s="42" t="n">
        <f aca="false">SUM(B64:M64)</f>
        <v>20442.59</v>
      </c>
    </row>
    <row r="65" customFormat="false" ht="13.8" hidden="false" customHeight="false" outlineLevel="0" collapsed="false">
      <c r="A65" s="40" t="s">
        <v>74</v>
      </c>
      <c r="B65" s="39"/>
      <c r="C65" s="39" t="n">
        <f aca="false">1400+1464</f>
        <v>2864</v>
      </c>
      <c r="D65" s="39"/>
      <c r="E65" s="39" t="n">
        <v>333.46</v>
      </c>
      <c r="F65" s="39"/>
      <c r="G65" s="39"/>
      <c r="H65" s="39"/>
      <c r="I65" s="39"/>
      <c r="J65" s="39"/>
      <c r="K65" s="39" t="n">
        <v>119.85</v>
      </c>
      <c r="L65" s="39" t="n">
        <f aca="false">119.85+119.85</f>
        <v>239.7</v>
      </c>
      <c r="M65" s="39" t="n">
        <f aca="false">1000+1500+500+199+5000+1000+150+450</f>
        <v>9799</v>
      </c>
      <c r="N65" s="42" t="n">
        <f aca="false">SUM(B65:M65)</f>
        <v>13356.01</v>
      </c>
    </row>
    <row r="66" customFormat="false" ht="15" hidden="false" customHeight="false" outlineLevel="0" collapsed="false">
      <c r="A66" s="41" t="s">
        <v>75</v>
      </c>
      <c r="B66" s="39"/>
      <c r="C66" s="39"/>
      <c r="D66" s="39"/>
      <c r="E66" s="39"/>
      <c r="F66" s="39"/>
      <c r="G66" s="39"/>
      <c r="H66" s="39" t="n">
        <v>433.09</v>
      </c>
      <c r="I66" s="39" t="n">
        <v>433.09</v>
      </c>
      <c r="J66" s="39" t="n">
        <v>433.09</v>
      </c>
      <c r="K66" s="39" t="n">
        <v>433.9</v>
      </c>
      <c r="L66" s="39" t="n">
        <f aca="false">433.09+433.9</f>
        <v>866.99</v>
      </c>
      <c r="M66" s="39"/>
      <c r="N66" s="42" t="n">
        <f aca="false">SUM(B66:M66)</f>
        <v>2600.16</v>
      </c>
    </row>
    <row r="67" customFormat="false" ht="15" hidden="false" customHeight="false" outlineLevel="0" collapsed="false">
      <c r="A67" s="41" t="s">
        <v>76</v>
      </c>
      <c r="B67" s="39"/>
      <c r="C67" s="43"/>
      <c r="D67" s="39" t="n">
        <f aca="false">350+350+350</f>
        <v>1050</v>
      </c>
      <c r="E67" s="39" t="n">
        <v>350</v>
      </c>
      <c r="F67" s="39"/>
      <c r="G67" s="39" t="n">
        <v>644.21</v>
      </c>
      <c r="H67" s="39"/>
      <c r="I67" s="39" t="n">
        <v>114.04</v>
      </c>
      <c r="J67" s="39"/>
      <c r="K67" s="39" t="n">
        <v>114.04</v>
      </c>
      <c r="L67" s="39" t="n">
        <v>114.04</v>
      </c>
      <c r="M67" s="39"/>
      <c r="N67" s="42" t="n">
        <f aca="false">SUM(B67:M67)</f>
        <v>2386.33</v>
      </c>
    </row>
    <row r="68" customFormat="false" ht="13.8" hidden="false" customHeight="false" outlineLevel="0" collapsed="false">
      <c r="A68" s="41" t="s">
        <v>77</v>
      </c>
      <c r="B68" s="39"/>
      <c r="C68" s="39"/>
      <c r="D68" s="39"/>
      <c r="E68" s="39" t="n">
        <f aca="false">400+4000</f>
        <v>4400</v>
      </c>
      <c r="F68" s="39" t="n">
        <f aca="false">300+130</f>
        <v>430</v>
      </c>
      <c r="G68" s="39" t="n">
        <f aca="false">450+84+155+90</f>
        <v>779</v>
      </c>
      <c r="H68" s="39" t="n">
        <f aca="false">398.7+825</f>
        <v>1223.7</v>
      </c>
      <c r="I68" s="39" t="n">
        <v>1654</v>
      </c>
      <c r="J68" s="39" t="n">
        <v>2000</v>
      </c>
      <c r="K68" s="39" t="n">
        <v>312.5</v>
      </c>
      <c r="L68" s="39"/>
      <c r="M68" s="39" t="n">
        <v>134</v>
      </c>
      <c r="N68" s="42" t="n">
        <f aca="false">SUM(B68:M68)</f>
        <v>10933.2</v>
      </c>
    </row>
    <row r="69" customFormat="false" ht="13.8" hidden="false" customHeight="false" outlineLevel="0" collapsed="false">
      <c r="A69" s="41" t="s">
        <v>78</v>
      </c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 t="n">
        <v>114.04</v>
      </c>
      <c r="N69" s="42" t="n">
        <f aca="false">SUM(B69:M69)</f>
        <v>114.04</v>
      </c>
    </row>
    <row r="70" customFormat="false" ht="13.8" hidden="false" customHeight="false" outlineLevel="0" collapsed="false">
      <c r="A70" s="41" t="s">
        <v>79</v>
      </c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 t="n">
        <v>1010</v>
      </c>
      <c r="N70" s="42"/>
    </row>
    <row r="71" customFormat="false" ht="13.8" hidden="false" customHeight="false" outlineLevel="0" collapsed="false">
      <c r="A71" s="40" t="s">
        <v>80</v>
      </c>
      <c r="B71" s="39"/>
      <c r="C71" s="39"/>
      <c r="D71" s="39"/>
      <c r="E71" s="39"/>
      <c r="F71" s="39"/>
      <c r="G71" s="39" t="n">
        <f aca="false">2000+544</f>
        <v>2544</v>
      </c>
      <c r="H71" s="39" t="n">
        <v>492.56</v>
      </c>
      <c r="I71" s="39" t="n">
        <v>472.68</v>
      </c>
      <c r="J71" s="39"/>
      <c r="K71" s="39"/>
      <c r="L71" s="39"/>
      <c r="M71" s="39" t="n">
        <v>223.51</v>
      </c>
      <c r="N71" s="42" t="n">
        <f aca="false">SUM(B71:M71)</f>
        <v>3732.75</v>
      </c>
    </row>
    <row r="72" customFormat="false" ht="15" hidden="false" customHeight="false" outlineLevel="0" collapsed="false">
      <c r="A72" s="38" t="s">
        <v>81</v>
      </c>
      <c r="B72" s="39" t="n">
        <f aca="false">SUM(B62:B68)</f>
        <v>2891.8</v>
      </c>
      <c r="C72" s="39" t="n">
        <f aca="false">SUM(C62:C68)</f>
        <v>4039</v>
      </c>
      <c r="D72" s="39" t="n">
        <f aca="false">SUM(D62:D68)</f>
        <v>3031</v>
      </c>
      <c r="E72" s="39" t="n">
        <f aca="false">SUM(E62:E68)</f>
        <v>5948.46</v>
      </c>
      <c r="F72" s="39" t="n">
        <f aca="false">SUM(F62:F68)</f>
        <v>1451</v>
      </c>
      <c r="G72" s="39" t="n">
        <f aca="false">SUM(G62:G71)</f>
        <v>5078.71</v>
      </c>
      <c r="H72" s="39" t="n">
        <f aca="false">SUM(H62:H71)</f>
        <v>4764.35</v>
      </c>
      <c r="I72" s="39" t="n">
        <f aca="false">SUM(I62:I71)</f>
        <v>5082.04</v>
      </c>
      <c r="J72" s="39" t="n">
        <f aca="false">SUM(J62:J71)</f>
        <v>2855.74</v>
      </c>
      <c r="K72" s="39" t="n">
        <f aca="false">SUM(K62:K71)</f>
        <v>5451.7</v>
      </c>
      <c r="L72" s="39" t="n">
        <f aca="false">SUM(L62:L71)</f>
        <v>4504.16</v>
      </c>
      <c r="M72" s="39" t="n">
        <f aca="false">SUM(M62:M71)</f>
        <v>14645.92</v>
      </c>
      <c r="N72" s="37" t="n">
        <f aca="false">SUM(B72:M72)</f>
        <v>59743.88</v>
      </c>
    </row>
    <row r="73" customFormat="false" ht="15" hidden="false" customHeight="false" outlineLevel="0" collapsed="false">
      <c r="A73" s="40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7" t="n">
        <f aca="false">SUM(B73:M73)</f>
        <v>0</v>
      </c>
    </row>
    <row r="74" customFormat="false" ht="15" hidden="false" customHeight="false" outlineLevel="0" collapsed="false">
      <c r="A74" s="38" t="s">
        <v>82</v>
      </c>
      <c r="B74" s="39" t="n">
        <f aca="false">B59-B72</f>
        <v>3795.69</v>
      </c>
      <c r="C74" s="39" t="n">
        <f aca="false">C59-C72</f>
        <v>3168.69</v>
      </c>
      <c r="D74" s="39" t="n">
        <f aca="false">D59-D72</f>
        <v>4496.28</v>
      </c>
      <c r="E74" s="39" t="n">
        <f aca="false">E59-E72</f>
        <v>1496.28</v>
      </c>
      <c r="F74" s="39" t="n">
        <f aca="false">F59-F72</f>
        <v>3781.89</v>
      </c>
      <c r="G74" s="39" t="n">
        <f aca="false">G59-G72</f>
        <v>2724.55</v>
      </c>
      <c r="H74" s="39" t="n">
        <f aca="false">H59-H72</f>
        <v>1553.1</v>
      </c>
      <c r="I74" s="39" t="n">
        <f aca="false">I59-I72</f>
        <v>1921</v>
      </c>
      <c r="J74" s="39" t="n">
        <f aca="false">J59-J72</f>
        <v>2859.82</v>
      </c>
      <c r="K74" s="39" t="n">
        <f aca="false">K59-K72</f>
        <v>1133.05</v>
      </c>
      <c r="L74" s="39" t="n">
        <f aca="false">L59-L72</f>
        <v>4549.21</v>
      </c>
      <c r="M74" s="39" t="n">
        <f aca="false">M59-M72</f>
        <v>931.910000000003</v>
      </c>
      <c r="N74" s="37" t="n">
        <f aca="false">SUM(B74:M74)</f>
        <v>32411.47</v>
      </c>
    </row>
    <row r="75" customFormat="false" ht="15" hidden="false" customHeight="false" outlineLevel="0" collapsed="false">
      <c r="A75" s="40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4"/>
    </row>
    <row r="76" customFormat="false" ht="15.75" hidden="false" customHeight="false" outlineLevel="0" collapsed="false">
      <c r="A76" s="45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46"/>
    </row>
    <row r="78" customFormat="false" ht="13.8" hidden="false" customHeight="false" outlineLevel="0" collapsed="false"/>
    <row r="79" customFormat="false" ht="13.8" hidden="false" customHeight="false" outlineLevel="0" collapsed="false"/>
    <row r="80" customFormat="false" ht="13.8" hidden="false" customHeight="false" outlineLevel="0" collapsed="false"/>
    <row r="81" customFormat="false" ht="13.8" hidden="false" customHeight="false" outlineLevel="0" collapsed="false"/>
  </sheetData>
  <sheetProtection sheet="true" password="cacd" objects="true" scenarios="true"/>
  <printOptions headings="false" gridLines="false" gridLinesSet="true" horizontalCentered="false" verticalCentered="true"/>
  <pageMargins left="0.315277777777778" right="0.315277777777778" top="0.39375" bottom="0.39375" header="0.315277777777778" footer="0.315277777777778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&amp;LASSOCIAÇÃO DOS SERVIDORES DA PREFEITURA MUNICIPAL DE BIGUAÇU - ASMUB&amp;RCNPJ - 79.678.819/0001-53</oddHeader>
    <oddFooter>&amp;LPRESIDENTE&amp;C&amp;D&amp;N&amp;RTESOUREIRO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P72"/>
  <sheetViews>
    <sheetView showFormulas="false" showGridLines="true" showRowColHeaders="true" showZeros="true" rightToLeft="false" tabSelected="true" showOutlineSymbols="true" defaultGridColor="true" view="normal" topLeftCell="A1" colorId="64" zoomScale="78" zoomScaleNormal="78" zoomScalePageLayoutView="100" workbookViewId="0">
      <selection pane="topLeft" activeCell="K32" activeCellId="0" sqref="K32"/>
    </sheetView>
  </sheetViews>
  <sheetFormatPr defaultRowHeight="15" zeroHeight="false" outlineLevelRow="0" outlineLevelCol="0"/>
  <cols>
    <col collapsed="false" customWidth="true" hidden="false" outlineLevel="0" max="1" min="1" style="47" width="26.26"/>
    <col collapsed="false" customWidth="true" hidden="false" outlineLevel="0" max="4" min="2" style="47" width="13.75"/>
    <col collapsed="false" customWidth="true" hidden="false" outlineLevel="0" max="13" min="5" style="47" width="16.26"/>
    <col collapsed="false" customWidth="true" hidden="false" outlineLevel="0" max="14" min="14" style="48" width="16.26"/>
    <col collapsed="false" customWidth="true" hidden="false" outlineLevel="0" max="16" min="15" style="47" width="16.26"/>
    <col collapsed="false" customWidth="true" hidden="false" outlineLevel="0" max="1025" min="17" style="47" width="8.1"/>
  </cols>
  <sheetData>
    <row r="1" customFormat="false" ht="15" hidden="false" customHeight="false" outlineLevel="0" collapsed="false">
      <c r="A1" s="49" t="s">
        <v>83</v>
      </c>
      <c r="B1" s="50"/>
      <c r="C1" s="50"/>
      <c r="D1" s="51"/>
      <c r="E1" s="50"/>
      <c r="F1" s="50"/>
      <c r="G1" s="50"/>
      <c r="H1" s="50"/>
      <c r="I1" s="50"/>
      <c r="J1" s="50"/>
      <c r="K1" s="50"/>
      <c r="L1" s="52"/>
      <c r="M1" s="50"/>
      <c r="N1" s="53"/>
    </row>
    <row r="2" customFormat="false" ht="15" hidden="false" customHeight="false" outlineLevel="0" collapsed="false">
      <c r="A2" s="54" t="s">
        <v>1</v>
      </c>
      <c r="B2" s="55" t="s">
        <v>2</v>
      </c>
      <c r="C2" s="56" t="s">
        <v>3</v>
      </c>
      <c r="D2" s="55" t="s">
        <v>4</v>
      </c>
      <c r="E2" s="55" t="s">
        <v>5</v>
      </c>
      <c r="F2" s="55" t="s">
        <v>6</v>
      </c>
      <c r="G2" s="55" t="s">
        <v>7</v>
      </c>
      <c r="H2" s="55" t="s">
        <v>8</v>
      </c>
      <c r="I2" s="55" t="s">
        <v>9</v>
      </c>
      <c r="J2" s="55" t="s">
        <v>10</v>
      </c>
      <c r="K2" s="55" t="s">
        <v>11</v>
      </c>
      <c r="L2" s="57" t="s">
        <v>12</v>
      </c>
      <c r="M2" s="55" t="s">
        <v>13</v>
      </c>
      <c r="N2" s="58" t="s">
        <v>14</v>
      </c>
      <c r="O2" s="49"/>
      <c r="P2" s="49"/>
    </row>
    <row r="3" customFormat="false" ht="15" hidden="false" customHeight="false" outlineLevel="0" collapsed="false">
      <c r="A3" s="59" t="s">
        <v>84</v>
      </c>
      <c r="B3" s="60" t="n">
        <v>316.69</v>
      </c>
      <c r="C3" s="60" t="n">
        <f aca="false">B39</f>
        <v>55.3699999999917</v>
      </c>
      <c r="D3" s="61" t="n">
        <f aca="false">C39</f>
        <v>47.9599999999882</v>
      </c>
      <c r="E3" s="60" t="n">
        <f aca="false">D39</f>
        <v>1258.48999999999</v>
      </c>
      <c r="F3" s="60" t="n">
        <f aca="false">E39</f>
        <v>1242.48999999999</v>
      </c>
      <c r="G3" s="60" t="n">
        <f aca="false">F39</f>
        <v>2154.21999999999</v>
      </c>
      <c r="H3" s="60" t="n">
        <f aca="false">G39</f>
        <v>3589.78</v>
      </c>
      <c r="I3" s="60" t="n">
        <f aca="false">H39</f>
        <v>2420.02</v>
      </c>
      <c r="J3" s="60" t="n">
        <f aca="false">I39</f>
        <v>514.239999999997</v>
      </c>
      <c r="K3" s="60" t="n">
        <f aca="false">J39</f>
        <v>76.4799999999966</v>
      </c>
      <c r="L3" s="62" t="n">
        <f aca="false">K39</f>
        <v>10.3299999999965</v>
      </c>
      <c r="M3" s="60" t="n">
        <f aca="false">L39</f>
        <v>89.5699999999963</v>
      </c>
      <c r="N3" s="63" t="n">
        <f aca="false">M8</f>
        <v>5050.55</v>
      </c>
      <c r="P3" s="64"/>
    </row>
    <row r="4" customFormat="false" ht="15" hidden="false" customHeight="false" outlineLevel="0" collapsed="false">
      <c r="A4" s="47" t="s">
        <v>16</v>
      </c>
      <c r="B4" s="65" t="n">
        <f aca="false">30.48+14135.72+3778.27+1410.39</f>
        <v>19354.86</v>
      </c>
      <c r="C4" s="65" t="n">
        <f aca="false">30.48+14838.58+3516.74</f>
        <v>18385.8</v>
      </c>
      <c r="D4" s="66" t="n">
        <f aca="false">15360.39+3532.02+30.48</f>
        <v>18922.89</v>
      </c>
      <c r="E4" s="65" t="n">
        <f aca="false">3783.27+11306.7+3656.67+30.48</f>
        <v>18777.12</v>
      </c>
      <c r="F4" s="65" t="n">
        <f aca="false">3905.04+11785.12+30.48+3745.72</f>
        <v>19466.36</v>
      </c>
      <c r="G4" s="65" t="n">
        <f aca="false">3890.68+11710.3+3520.67+240.9+30.73</f>
        <v>19393.28</v>
      </c>
      <c r="H4" s="65" t="n">
        <f aca="false">924.8+11525.62+334.14+3620.05+46.81+63.44+30.85</f>
        <v>16545.71</v>
      </c>
      <c r="I4" s="65" t="n">
        <v>30.85</v>
      </c>
      <c r="J4" s="65" t="n">
        <v>30.85</v>
      </c>
      <c r="K4" s="65"/>
      <c r="L4" s="67"/>
      <c r="M4" s="65"/>
      <c r="N4" s="68" t="n">
        <f aca="false">SUM(B4:M4)</f>
        <v>130907.72</v>
      </c>
      <c r="P4" s="69"/>
    </row>
    <row r="5" customFormat="false" ht="15" hidden="false" customHeight="false" outlineLevel="0" collapsed="false">
      <c r="A5" s="47" t="s">
        <v>17</v>
      </c>
      <c r="B5" s="65"/>
      <c r="C5" s="65"/>
      <c r="D5" s="66"/>
      <c r="E5" s="65"/>
      <c r="F5" s="65"/>
      <c r="G5" s="65"/>
      <c r="H5" s="65"/>
      <c r="I5" s="65" t="n">
        <v>500</v>
      </c>
      <c r="J5" s="65"/>
      <c r="K5" s="65"/>
      <c r="L5" s="67"/>
      <c r="M5" s="65"/>
      <c r="N5" s="68" t="n">
        <f aca="false">SUM(B5:M5)</f>
        <v>500</v>
      </c>
      <c r="P5" s="64"/>
    </row>
    <row r="6" customFormat="false" ht="15" hidden="false" customHeight="false" outlineLevel="0" collapsed="false">
      <c r="A6" s="47" t="s">
        <v>85</v>
      </c>
      <c r="B6" s="65"/>
      <c r="C6" s="65"/>
      <c r="D6" s="66" t="n">
        <v>25</v>
      </c>
      <c r="E6" s="65" t="n">
        <v>40</v>
      </c>
      <c r="F6" s="65" t="n">
        <v>40</v>
      </c>
      <c r="G6" s="65" t="n">
        <f aca="false">40+150</f>
        <v>190</v>
      </c>
      <c r="H6" s="65" t="n">
        <f aca="false">40+150</f>
        <v>190</v>
      </c>
      <c r="I6" s="65" t="n">
        <f aca="false">150+40</f>
        <v>190</v>
      </c>
      <c r="J6" s="65" t="n">
        <v>40</v>
      </c>
      <c r="K6" s="65" t="n">
        <f aca="false">40+1000</f>
        <v>1040</v>
      </c>
      <c r="L6" s="67" t="n">
        <f aca="false">40+1000+30.85+30.85</f>
        <v>1101.7</v>
      </c>
      <c r="M6" s="65" t="n">
        <f aca="false">40+500+300+30.98+100+2500+960+530</f>
        <v>4960.98</v>
      </c>
      <c r="N6" s="68" t="n">
        <f aca="false">SUM(B6:M6)</f>
        <v>7817.68</v>
      </c>
      <c r="P6" s="64"/>
    </row>
    <row r="7" customFormat="false" ht="15" hidden="false" customHeight="false" outlineLevel="0" collapsed="false">
      <c r="A7" s="47" t="s">
        <v>86</v>
      </c>
      <c r="B7" s="65"/>
      <c r="C7" s="65"/>
      <c r="D7" s="66" t="n">
        <v>296.68</v>
      </c>
      <c r="E7" s="65"/>
      <c r="F7" s="65"/>
      <c r="G7" s="65"/>
      <c r="H7" s="65"/>
      <c r="I7" s="65"/>
      <c r="J7" s="65"/>
      <c r="K7" s="65"/>
      <c r="L7" s="67"/>
      <c r="M7" s="65"/>
      <c r="N7" s="68" t="n">
        <f aca="false">SUM(B7:M7)</f>
        <v>296.68</v>
      </c>
      <c r="P7" s="69"/>
    </row>
    <row r="8" customFormat="false" ht="15" hidden="false" customHeight="false" outlineLevel="0" collapsed="false">
      <c r="A8" s="54" t="s">
        <v>20</v>
      </c>
      <c r="B8" s="70" t="n">
        <f aca="false">B3+B4+B5+B6+B7</f>
        <v>19671.55</v>
      </c>
      <c r="C8" s="70" t="n">
        <f aca="false">C3+C4+C5+C6+C7</f>
        <v>18441.17</v>
      </c>
      <c r="D8" s="71" t="n">
        <f aca="false">SUM(D3:D7)</f>
        <v>19292.53</v>
      </c>
      <c r="E8" s="70" t="n">
        <f aca="false">SUM(E3:E7)</f>
        <v>20075.61</v>
      </c>
      <c r="F8" s="70" t="n">
        <f aca="false">SUM(F3:F7)</f>
        <v>20748.85</v>
      </c>
      <c r="G8" s="70" t="n">
        <f aca="false">SUM(G3:G7)</f>
        <v>21737.5</v>
      </c>
      <c r="H8" s="70" t="n">
        <f aca="false">SUM(H3:H7)</f>
        <v>20325.49</v>
      </c>
      <c r="I8" s="70" t="n">
        <f aca="false">SUM(I3:I7)</f>
        <v>3140.87</v>
      </c>
      <c r="J8" s="70" t="n">
        <f aca="false">SUM(J3:J7)</f>
        <v>585.089999999997</v>
      </c>
      <c r="K8" s="70" t="n">
        <f aca="false">SUM(K3:K7)</f>
        <v>1116.48</v>
      </c>
      <c r="L8" s="72" t="n">
        <f aca="false">SUM(L3:L7)</f>
        <v>1112.03</v>
      </c>
      <c r="M8" s="70" t="n">
        <f aca="false">SUM(M3:M7)</f>
        <v>5050.55</v>
      </c>
      <c r="N8" s="73" t="n">
        <f aca="false">SUM(N3:N7)</f>
        <v>144572.63</v>
      </c>
      <c r="O8" s="49"/>
      <c r="P8" s="74"/>
    </row>
    <row r="9" customFormat="false" ht="15" hidden="false" customHeight="false" outlineLevel="0" collapsed="false">
      <c r="B9" s="50"/>
      <c r="C9" s="50"/>
      <c r="D9" s="51"/>
      <c r="E9" s="50"/>
      <c r="F9" s="50"/>
      <c r="G9" s="50"/>
      <c r="H9" s="50"/>
      <c r="I9" s="50"/>
      <c r="J9" s="50"/>
      <c r="K9" s="50"/>
      <c r="L9" s="52"/>
      <c r="M9" s="50"/>
      <c r="N9" s="53"/>
    </row>
    <row r="10" customFormat="false" ht="15" hidden="false" customHeight="false" outlineLevel="0" collapsed="false">
      <c r="A10" s="54" t="s">
        <v>21</v>
      </c>
      <c r="B10" s="70" t="s">
        <v>2</v>
      </c>
      <c r="C10" s="70" t="s">
        <v>3</v>
      </c>
      <c r="D10" s="71" t="s">
        <v>4</v>
      </c>
      <c r="E10" s="70" t="s">
        <v>5</v>
      </c>
      <c r="F10" s="70" t="s">
        <v>6</v>
      </c>
      <c r="G10" s="70" t="s">
        <v>7</v>
      </c>
      <c r="H10" s="70" t="s">
        <v>8</v>
      </c>
      <c r="I10" s="70" t="s">
        <v>9</v>
      </c>
      <c r="J10" s="70" t="s">
        <v>10</v>
      </c>
      <c r="K10" s="75" t="s">
        <v>11</v>
      </c>
      <c r="L10" s="76" t="s">
        <v>12</v>
      </c>
      <c r="M10" s="75" t="s">
        <v>13</v>
      </c>
      <c r="N10" s="77" t="s">
        <v>14</v>
      </c>
      <c r="O10" s="49"/>
      <c r="P10" s="49"/>
    </row>
    <row r="11" customFormat="false" ht="15" hidden="false" customHeight="false" outlineLevel="0" collapsed="false">
      <c r="A11" s="47" t="s">
        <v>22</v>
      </c>
      <c r="B11" s="65" t="n">
        <v>206.93</v>
      </c>
      <c r="C11" s="65" t="n">
        <v>62.27</v>
      </c>
      <c r="D11" s="66" t="n">
        <v>62.27</v>
      </c>
      <c r="E11" s="65" t="n">
        <v>135.85</v>
      </c>
      <c r="F11" s="65" t="n">
        <v>155.27</v>
      </c>
      <c r="G11" s="65" t="n">
        <v>144.93</v>
      </c>
      <c r="H11" s="65" t="n">
        <v>196.6</v>
      </c>
      <c r="I11" s="65" t="n">
        <v>403.26</v>
      </c>
      <c r="J11" s="65" t="n">
        <v>124.27</v>
      </c>
      <c r="K11" s="65"/>
      <c r="L11" s="67"/>
      <c r="M11" s="65"/>
      <c r="N11" s="68" t="n">
        <f aca="false">SUM(B11:M11)</f>
        <v>1491.65</v>
      </c>
      <c r="O11" s="48"/>
      <c r="P11" s="78"/>
    </row>
    <row r="12" customFormat="false" ht="15" hidden="false" customHeight="false" outlineLevel="0" collapsed="false">
      <c r="A12" s="47" t="s">
        <v>24</v>
      </c>
      <c r="B12" s="65" t="n">
        <v>2041.89</v>
      </c>
      <c r="C12" s="65" t="n">
        <v>1998.3</v>
      </c>
      <c r="D12" s="66" t="n">
        <v>2846.59</v>
      </c>
      <c r="E12" s="65" t="n">
        <v>3158.44</v>
      </c>
      <c r="F12" s="65" t="n">
        <v>4094.92</v>
      </c>
      <c r="G12" s="65" t="n">
        <v>4015.04</v>
      </c>
      <c r="H12" s="65"/>
      <c r="I12" s="65"/>
      <c r="J12" s="65"/>
      <c r="K12" s="65"/>
      <c r="L12" s="67"/>
      <c r="M12" s="65"/>
      <c r="N12" s="68" t="n">
        <f aca="false">SUM(B12:M12)</f>
        <v>18155.18</v>
      </c>
      <c r="O12" s="48"/>
      <c r="P12" s="78"/>
    </row>
    <row r="13" customFormat="false" ht="15" hidden="false" customHeight="false" outlineLevel="0" collapsed="false">
      <c r="A13" s="47" t="s">
        <v>46</v>
      </c>
      <c r="B13" s="65" t="n">
        <v>433.15</v>
      </c>
      <c r="C13" s="65"/>
      <c r="D13" s="66"/>
      <c r="E13" s="65"/>
      <c r="F13" s="65"/>
      <c r="G13" s="65"/>
      <c r="H13" s="65"/>
      <c r="I13" s="65" t="n">
        <v>433</v>
      </c>
      <c r="J13" s="65"/>
      <c r="K13" s="65"/>
      <c r="L13" s="67"/>
      <c r="M13" s="65"/>
      <c r="N13" s="68" t="n">
        <f aca="false">SUM(B13:M13)</f>
        <v>866.15</v>
      </c>
      <c r="O13" s="48"/>
      <c r="P13" s="78"/>
    </row>
    <row r="14" customFormat="false" ht="15" hidden="false" customHeight="false" outlineLevel="0" collapsed="false">
      <c r="A14" s="47" t="s">
        <v>26</v>
      </c>
      <c r="B14" s="65" t="n">
        <v>6953.98</v>
      </c>
      <c r="C14" s="65" t="n">
        <v>6264.32</v>
      </c>
      <c r="D14" s="66" t="n">
        <v>5951.05</v>
      </c>
      <c r="E14" s="65" t="n">
        <v>5252.02</v>
      </c>
      <c r="F14" s="65" t="n">
        <v>4548.88</v>
      </c>
      <c r="G14" s="65" t="n">
        <v>6090.05</v>
      </c>
      <c r="H14" s="65"/>
      <c r="I14" s="65"/>
      <c r="J14" s="65"/>
      <c r="K14" s="65"/>
      <c r="L14" s="67"/>
      <c r="M14" s="65"/>
      <c r="N14" s="68" t="n">
        <f aca="false">SUM(B14:M14)</f>
        <v>35060.3</v>
      </c>
      <c r="O14" s="48"/>
      <c r="P14" s="78"/>
    </row>
    <row r="15" customFormat="false" ht="15" hidden="false" customHeight="false" outlineLevel="0" collapsed="false">
      <c r="A15" s="47" t="s">
        <v>27</v>
      </c>
      <c r="B15" s="65"/>
      <c r="C15" s="65" t="n">
        <v>500</v>
      </c>
      <c r="D15" s="66"/>
      <c r="E15" s="65" t="n">
        <v>550</v>
      </c>
      <c r="F15" s="65" t="n">
        <v>550</v>
      </c>
      <c r="G15" s="65" t="n">
        <f aca="false">550+29.95</f>
        <v>579.95</v>
      </c>
      <c r="H15" s="65" t="n">
        <v>276</v>
      </c>
      <c r="I15" s="65" t="n">
        <f aca="false">156.05+500</f>
        <v>656.05</v>
      </c>
      <c r="J15" s="65" t="n">
        <v>129.8</v>
      </c>
      <c r="K15" s="65"/>
      <c r="L15" s="67"/>
      <c r="M15" s="65" t="n">
        <v>2500</v>
      </c>
      <c r="N15" s="68" t="n">
        <f aca="false">SUM(B15:M15)</f>
        <v>5741.8</v>
      </c>
      <c r="O15" s="48"/>
      <c r="P15" s="78"/>
    </row>
    <row r="16" customFormat="false" ht="15" hidden="false" customHeight="false" outlineLevel="0" collapsed="false">
      <c r="A16" s="47" t="s">
        <v>28</v>
      </c>
      <c r="B16" s="65" t="n">
        <v>373.37</v>
      </c>
      <c r="C16" s="65" t="n">
        <v>338.71</v>
      </c>
      <c r="D16" s="66" t="n">
        <v>657.8</v>
      </c>
      <c r="E16" s="65" t="n">
        <v>788.16</v>
      </c>
      <c r="F16" s="65" t="n">
        <v>674.2</v>
      </c>
      <c r="G16" s="65" t="n">
        <v>827.26</v>
      </c>
      <c r="H16" s="65"/>
      <c r="I16" s="65" t="n">
        <v>208.59</v>
      </c>
      <c r="J16" s="65" t="n">
        <v>53.82</v>
      </c>
      <c r="K16" s="65" t="n">
        <v>163.52</v>
      </c>
      <c r="L16" s="67" t="n">
        <v>87.29</v>
      </c>
      <c r="M16" s="65" t="n">
        <f aca="false">264.37+47.3</f>
        <v>311.67</v>
      </c>
      <c r="N16" s="68" t="n">
        <f aca="false">SUM(B16:M16)</f>
        <v>4484.39</v>
      </c>
      <c r="O16" s="48"/>
      <c r="P16" s="78"/>
    </row>
    <row r="17" customFormat="false" ht="15" hidden="false" customHeight="false" outlineLevel="0" collapsed="false">
      <c r="A17" s="47" t="s">
        <v>29</v>
      </c>
      <c r="B17" s="65"/>
      <c r="C17" s="65"/>
      <c r="D17" s="66"/>
      <c r="E17" s="65"/>
      <c r="F17" s="65"/>
      <c r="G17" s="65"/>
      <c r="H17" s="65"/>
      <c r="I17" s="65"/>
      <c r="J17" s="65"/>
      <c r="K17" s="65"/>
      <c r="L17" s="67"/>
      <c r="M17" s="65"/>
      <c r="N17" s="68" t="n">
        <f aca="false">SUM(B17:M17)</f>
        <v>0</v>
      </c>
      <c r="O17" s="48"/>
      <c r="P17" s="78"/>
    </row>
    <row r="18" customFormat="false" ht="15" hidden="false" customHeight="false" outlineLevel="0" collapsed="false">
      <c r="A18" s="47" t="s">
        <v>87</v>
      </c>
      <c r="B18" s="65"/>
      <c r="C18" s="65"/>
      <c r="D18" s="66"/>
      <c r="E18" s="65"/>
      <c r="F18" s="65"/>
      <c r="G18" s="65"/>
      <c r="H18" s="65" t="n">
        <v>17000</v>
      </c>
      <c r="I18" s="65"/>
      <c r="J18" s="65"/>
      <c r="K18" s="65"/>
      <c r="L18" s="67"/>
      <c r="M18" s="65"/>
      <c r="N18" s="68" t="n">
        <f aca="false">SUM(B18:M18)</f>
        <v>17000</v>
      </c>
      <c r="O18" s="48"/>
      <c r="P18" s="78"/>
    </row>
    <row r="19" customFormat="false" ht="15" hidden="false" customHeight="false" outlineLevel="0" collapsed="false">
      <c r="A19" s="47" t="s">
        <v>31</v>
      </c>
      <c r="B19" s="65"/>
      <c r="C19" s="65"/>
      <c r="D19" s="66"/>
      <c r="E19" s="65"/>
      <c r="F19" s="65"/>
      <c r="G19" s="65"/>
      <c r="H19" s="65"/>
      <c r="I19" s="65"/>
      <c r="J19" s="65"/>
      <c r="K19" s="65"/>
      <c r="L19" s="67"/>
      <c r="M19" s="65"/>
      <c r="N19" s="68" t="n">
        <f aca="false">SUM(B19:M19)</f>
        <v>0</v>
      </c>
      <c r="O19" s="48"/>
      <c r="P19" s="78"/>
    </row>
    <row r="20" customFormat="false" ht="15" hidden="false" customHeight="false" outlineLevel="0" collapsed="false">
      <c r="A20" s="47" t="s">
        <v>32</v>
      </c>
      <c r="B20" s="65" t="n">
        <v>209.66</v>
      </c>
      <c r="C20" s="65" t="n">
        <v>234.18</v>
      </c>
      <c r="D20" s="66" t="n">
        <v>77.87</v>
      </c>
      <c r="E20" s="65" t="n">
        <v>69.8</v>
      </c>
      <c r="F20" s="65" t="n">
        <v>38.76</v>
      </c>
      <c r="G20" s="65" t="n">
        <v>136.98</v>
      </c>
      <c r="H20" s="65"/>
      <c r="I20" s="65" t="n">
        <v>236.22</v>
      </c>
      <c r="J20" s="65" t="n">
        <v>124.72</v>
      </c>
      <c r="K20" s="65" t="n">
        <v>142.36</v>
      </c>
      <c r="L20" s="67" t="n">
        <v>203.96</v>
      </c>
      <c r="M20" s="65" t="n">
        <v>159.07</v>
      </c>
      <c r="N20" s="68" t="n">
        <f aca="false">SUM(B20:M20)</f>
        <v>1633.58</v>
      </c>
      <c r="O20" s="48"/>
      <c r="P20" s="78"/>
    </row>
    <row r="21" customFormat="false" ht="15" hidden="false" customHeight="false" outlineLevel="0" collapsed="false">
      <c r="A21" s="47" t="s">
        <v>33</v>
      </c>
      <c r="B21" s="65" t="n">
        <v>138.2</v>
      </c>
      <c r="C21" s="65" t="n">
        <v>138.2</v>
      </c>
      <c r="D21" s="66"/>
      <c r="E21" s="65" t="n">
        <f aca="false">191.4+223.51</f>
        <v>414.91</v>
      </c>
      <c r="F21" s="65"/>
      <c r="G21" s="65"/>
      <c r="H21" s="65"/>
      <c r="I21" s="65"/>
      <c r="J21" s="65"/>
      <c r="K21" s="65"/>
      <c r="L21" s="67"/>
      <c r="M21" s="65"/>
      <c r="N21" s="68" t="n">
        <f aca="false">SUM(B21:M21)</f>
        <v>691.31</v>
      </c>
      <c r="O21" s="48"/>
      <c r="P21" s="79"/>
    </row>
    <row r="22" customFormat="false" ht="15" hidden="false" customHeight="false" outlineLevel="0" collapsed="false">
      <c r="A22" s="47" t="s">
        <v>34</v>
      </c>
      <c r="B22" s="65"/>
      <c r="C22" s="65"/>
      <c r="D22" s="66"/>
      <c r="E22" s="65"/>
      <c r="F22" s="65"/>
      <c r="G22" s="65"/>
      <c r="H22" s="65"/>
      <c r="I22" s="65"/>
      <c r="J22" s="65"/>
      <c r="K22" s="65"/>
      <c r="L22" s="67"/>
      <c r="M22" s="65"/>
      <c r="N22" s="68" t="n">
        <f aca="false">SUM(B22:M22)</f>
        <v>0</v>
      </c>
      <c r="O22" s="48"/>
      <c r="P22" s="78"/>
    </row>
    <row r="23" customFormat="false" ht="15" hidden="false" customHeight="false" outlineLevel="0" collapsed="false">
      <c r="A23" s="47" t="s">
        <v>35</v>
      </c>
      <c r="B23" s="65" t="n">
        <f aca="false">180.05+309.61</f>
        <v>489.66</v>
      </c>
      <c r="C23" s="65" t="n">
        <v>306.2</v>
      </c>
      <c r="D23" s="66" t="n">
        <v>258.25</v>
      </c>
      <c r="E23" s="65"/>
      <c r="F23" s="65" t="n">
        <v>159.4</v>
      </c>
      <c r="G23" s="65"/>
      <c r="H23" s="65"/>
      <c r="I23" s="65"/>
      <c r="J23" s="65"/>
      <c r="K23" s="65"/>
      <c r="L23" s="67"/>
      <c r="M23" s="65"/>
      <c r="N23" s="68" t="n">
        <f aca="false">SUM(B23:M23)</f>
        <v>1213.51</v>
      </c>
      <c r="O23" s="48"/>
      <c r="P23" s="48"/>
    </row>
    <row r="24" customFormat="false" ht="15" hidden="false" customHeight="false" outlineLevel="0" collapsed="false">
      <c r="A24" s="47" t="s">
        <v>36</v>
      </c>
      <c r="B24" s="65" t="n">
        <v>475.93</v>
      </c>
      <c r="C24" s="65" t="n">
        <v>256.57</v>
      </c>
      <c r="D24" s="66" t="n">
        <v>283.75</v>
      </c>
      <c r="E24" s="65" t="n">
        <v>95.73</v>
      </c>
      <c r="F24" s="65" t="n">
        <v>377.19</v>
      </c>
      <c r="G24" s="65" t="n">
        <v>380.84</v>
      </c>
      <c r="H24" s="65"/>
      <c r="I24" s="65"/>
      <c r="J24" s="65"/>
      <c r="K24" s="65"/>
      <c r="L24" s="67"/>
      <c r="M24" s="65"/>
      <c r="N24" s="68" t="n">
        <f aca="false">SUM(B24:M24)</f>
        <v>1870.01</v>
      </c>
      <c r="O24" s="48"/>
      <c r="P24" s="48"/>
    </row>
    <row r="25" customFormat="false" ht="15" hidden="false" customHeight="false" outlineLevel="0" collapsed="false">
      <c r="A25" s="47" t="s">
        <v>37</v>
      </c>
      <c r="B25" s="65"/>
      <c r="C25" s="65"/>
      <c r="D25" s="66"/>
      <c r="E25" s="65"/>
      <c r="F25" s="65"/>
      <c r="G25" s="65"/>
      <c r="H25" s="65"/>
      <c r="I25" s="65"/>
      <c r="J25" s="65"/>
      <c r="K25" s="65"/>
      <c r="L25" s="67"/>
      <c r="M25" s="65"/>
      <c r="N25" s="68" t="n">
        <f aca="false">SUM(B25:M25)</f>
        <v>0</v>
      </c>
      <c r="O25" s="48"/>
      <c r="P25" s="48"/>
    </row>
    <row r="26" customFormat="false" ht="15" hidden="false" customHeight="false" outlineLevel="0" collapsed="false">
      <c r="A26" s="47" t="s">
        <v>38</v>
      </c>
      <c r="B26" s="65" t="n">
        <v>350</v>
      </c>
      <c r="C26" s="65" t="n">
        <v>350</v>
      </c>
      <c r="D26" s="66" t="n">
        <v>358.4</v>
      </c>
      <c r="E26" s="65" t="n">
        <v>358.4</v>
      </c>
      <c r="F26" s="65" t="n">
        <v>298.6</v>
      </c>
      <c r="G26" s="65" t="n">
        <v>300</v>
      </c>
      <c r="H26" s="65"/>
      <c r="I26" s="65" t="n">
        <v>230</v>
      </c>
      <c r="J26" s="65"/>
      <c r="K26" s="65" t="n">
        <v>238</v>
      </c>
      <c r="L26" s="67" t="n">
        <v>230</v>
      </c>
      <c r="M26" s="65"/>
      <c r="N26" s="68" t="n">
        <f aca="false">SUM(B26:M26)</f>
        <v>2713.4</v>
      </c>
      <c r="O26" s="48"/>
      <c r="P26" s="48"/>
    </row>
    <row r="27" customFormat="false" ht="15" hidden="false" customHeight="false" outlineLevel="0" collapsed="false">
      <c r="A27" s="47" t="s">
        <v>39</v>
      </c>
      <c r="B27" s="65" t="n">
        <v>441.18</v>
      </c>
      <c r="C27" s="65" t="n">
        <v>441.18</v>
      </c>
      <c r="D27" s="66" t="n">
        <v>441.5</v>
      </c>
      <c r="E27" s="65" t="n">
        <v>441.18</v>
      </c>
      <c r="F27" s="65"/>
      <c r="G27" s="65"/>
      <c r="H27" s="65"/>
      <c r="I27" s="65"/>
      <c r="J27" s="65"/>
      <c r="K27" s="65" t="n">
        <f aca="false">423.52</f>
        <v>423.52</v>
      </c>
      <c r="L27" s="67"/>
      <c r="M27" s="65" t="n">
        <v>223.51</v>
      </c>
      <c r="N27" s="68" t="n">
        <f aca="false">SUM(B27:M27)</f>
        <v>2412.07</v>
      </c>
      <c r="O27" s="48"/>
      <c r="P27" s="48"/>
    </row>
    <row r="28" customFormat="false" ht="15" hidden="false" customHeight="false" outlineLevel="0" collapsed="false">
      <c r="A28" s="47" t="s">
        <v>40</v>
      </c>
      <c r="B28" s="65"/>
      <c r="C28" s="65"/>
      <c r="D28" s="66"/>
      <c r="E28" s="65"/>
      <c r="F28" s="65"/>
      <c r="G28" s="65"/>
      <c r="H28" s="65"/>
      <c r="I28" s="65"/>
      <c r="J28" s="65"/>
      <c r="K28" s="65"/>
      <c r="L28" s="67"/>
      <c r="M28" s="65"/>
      <c r="N28" s="68" t="n">
        <f aca="false">SUM(B28:M28)</f>
        <v>0</v>
      </c>
      <c r="O28" s="48"/>
      <c r="P28" s="48"/>
    </row>
    <row r="29" customFormat="false" ht="15" hidden="false" customHeight="false" outlineLevel="0" collapsed="false">
      <c r="A29" s="47" t="s">
        <v>41</v>
      </c>
      <c r="B29" s="65" t="n">
        <v>119.85</v>
      </c>
      <c r="C29" s="65"/>
      <c r="D29" s="66"/>
      <c r="E29" s="65"/>
      <c r="F29" s="65"/>
      <c r="G29" s="65"/>
      <c r="H29" s="65"/>
      <c r="I29" s="65"/>
      <c r="J29" s="65"/>
      <c r="K29" s="65"/>
      <c r="L29" s="67"/>
      <c r="M29" s="65" t="n">
        <f aca="false">960+500</f>
        <v>1460</v>
      </c>
      <c r="N29" s="68" t="n">
        <f aca="false">SUM(B29:M29)</f>
        <v>1579.85</v>
      </c>
      <c r="O29" s="48"/>
      <c r="P29" s="48"/>
    </row>
    <row r="30" customFormat="false" ht="15" hidden="false" customHeight="false" outlineLevel="0" collapsed="false">
      <c r="A30" s="47" t="s">
        <v>42</v>
      </c>
      <c r="B30" s="65" t="n">
        <f aca="false">48.4+2750.78</f>
        <v>2799.18</v>
      </c>
      <c r="C30" s="65" t="n">
        <f aca="false">242+2870</f>
        <v>3112</v>
      </c>
      <c r="D30" s="66" t="n">
        <f aca="false">165.04+2434.62</f>
        <v>2599.66</v>
      </c>
      <c r="E30" s="65" t="n">
        <f aca="false">2281.3</f>
        <v>2281.3</v>
      </c>
      <c r="F30" s="65" t="n">
        <f aca="false">2224.58</f>
        <v>2224.58</v>
      </c>
      <c r="G30" s="65" t="n">
        <f aca="false">3669.45</f>
        <v>3669.45</v>
      </c>
      <c r="H30" s="65"/>
      <c r="I30" s="65"/>
      <c r="J30" s="65"/>
      <c r="K30" s="65"/>
      <c r="L30" s="67" t="n">
        <f aca="false">96.9</f>
        <v>96.9</v>
      </c>
      <c r="M30" s="65"/>
      <c r="N30" s="68" t="n">
        <f aca="false">SUM(B30:M30)</f>
        <v>16783.07</v>
      </c>
      <c r="O30" s="48"/>
      <c r="P30" s="48"/>
    </row>
    <row r="31" customFormat="false" ht="15" hidden="false" customHeight="false" outlineLevel="0" collapsed="false">
      <c r="A31" s="47" t="s">
        <v>43</v>
      </c>
      <c r="B31" s="65" t="n">
        <f aca="false">9.4+9.4+9.4+9.4+42</f>
        <v>79.6</v>
      </c>
      <c r="C31" s="65" t="n">
        <f aca="false">9.7+9.7+9.7+9.7+43.4</f>
        <v>82.2</v>
      </c>
      <c r="D31" s="66" t="n">
        <f aca="false">9.7+9.7+9.7+9.7+43.4</f>
        <v>82.2</v>
      </c>
      <c r="E31" s="65" t="n">
        <f aca="false">9.7+9.7+9.7+9.7+43.4+42.45</f>
        <v>124.65</v>
      </c>
      <c r="F31" s="65" t="n">
        <f aca="false">97+43.4</f>
        <v>140.4</v>
      </c>
      <c r="G31" s="65" t="n">
        <f aca="false">9.7+9.7+9.7+43.4</f>
        <v>72.5</v>
      </c>
      <c r="H31" s="65" t="n">
        <f aca="false">4.35+6.4+43.4+2.35</f>
        <v>56.5</v>
      </c>
      <c r="I31" s="65" t="n">
        <f aca="false">10.15+48</f>
        <v>58.15</v>
      </c>
      <c r="J31" s="65" t="n">
        <v>76</v>
      </c>
      <c r="K31" s="65" t="n">
        <f aca="false">10.15+76+42.45+10.15</f>
        <v>138.75</v>
      </c>
      <c r="L31" s="67" t="n">
        <f aca="false">76</f>
        <v>76</v>
      </c>
      <c r="M31" s="65" t="n">
        <f aca="false">76</f>
        <v>76</v>
      </c>
      <c r="N31" s="68" t="n">
        <f aca="false">SUM(B31:M31)</f>
        <v>1062.95</v>
      </c>
      <c r="O31" s="48"/>
      <c r="P31" s="48"/>
    </row>
    <row r="32" customFormat="false" ht="15" hidden="false" customHeight="false" outlineLevel="0" collapsed="false">
      <c r="A32" s="47" t="s">
        <v>44</v>
      </c>
      <c r="B32" s="65"/>
      <c r="C32" s="65"/>
      <c r="D32" s="66"/>
      <c r="E32" s="65"/>
      <c r="F32" s="65"/>
      <c r="G32" s="65"/>
      <c r="H32" s="65"/>
      <c r="I32" s="65"/>
      <c r="J32" s="65"/>
      <c r="K32" s="65"/>
      <c r="L32" s="67"/>
      <c r="M32" s="65"/>
      <c r="N32" s="68" t="n">
        <f aca="false">SUM(B32:M32)</f>
        <v>0</v>
      </c>
      <c r="O32" s="48"/>
      <c r="P32" s="48"/>
    </row>
    <row r="33" customFormat="false" ht="15" hidden="false" customHeight="false" outlineLevel="0" collapsed="false">
      <c r="A33" s="47" t="s">
        <v>45</v>
      </c>
      <c r="B33" s="65" t="n">
        <v>4021.2</v>
      </c>
      <c r="C33" s="65" t="n">
        <v>4021.2</v>
      </c>
      <c r="D33" s="66" t="n">
        <v>4021.2</v>
      </c>
      <c r="E33" s="65" t="n">
        <v>4021.2</v>
      </c>
      <c r="F33" s="65" t="n">
        <v>4021.2</v>
      </c>
      <c r="G33" s="65"/>
      <c r="H33" s="65"/>
      <c r="I33" s="65"/>
      <c r="J33" s="65"/>
      <c r="K33" s="65"/>
      <c r="L33" s="67"/>
      <c r="M33" s="65"/>
      <c r="N33" s="68" t="n">
        <f aca="false">SUM(B33:M33)</f>
        <v>20106</v>
      </c>
      <c r="O33" s="48"/>
      <c r="P33" s="48"/>
    </row>
    <row r="34" customFormat="false" ht="15" hidden="false" customHeight="false" outlineLevel="0" collapsed="false">
      <c r="A34" s="47" t="s">
        <v>48</v>
      </c>
      <c r="B34" s="65"/>
      <c r="C34" s="65"/>
      <c r="D34" s="66"/>
      <c r="E34" s="65"/>
      <c r="F34" s="65" t="n">
        <f aca="false">57.75+63.77+52.7</f>
        <v>174.22</v>
      </c>
      <c r="G34" s="65"/>
      <c r="H34" s="65"/>
      <c r="I34" s="65"/>
      <c r="J34" s="65"/>
      <c r="K34" s="65"/>
      <c r="L34" s="67"/>
      <c r="M34" s="65"/>
      <c r="N34" s="68" t="n">
        <f aca="false">SUM(B34:M34)</f>
        <v>174.22</v>
      </c>
      <c r="O34" s="48"/>
      <c r="P34" s="48"/>
    </row>
    <row r="35" customFormat="false" ht="15" hidden="false" customHeight="false" outlineLevel="0" collapsed="false">
      <c r="A35" s="47" t="s">
        <v>49</v>
      </c>
      <c r="B35" s="65" t="n">
        <f aca="false">78.11+254.29</f>
        <v>332.4</v>
      </c>
      <c r="C35" s="65" t="n">
        <f aca="false">75.45+212.43</f>
        <v>287.88</v>
      </c>
      <c r="D35" s="66" t="n">
        <f aca="false">77.76+315.74</f>
        <v>393.5</v>
      </c>
      <c r="E35" s="65" t="n">
        <f aca="false">78.42+413.06</f>
        <v>491.48</v>
      </c>
      <c r="F35" s="65" t="n">
        <f aca="false">81.75+421.26</f>
        <v>503.01</v>
      </c>
      <c r="G35" s="65" t="n">
        <f aca="false">84.24+575.27</f>
        <v>659.51</v>
      </c>
      <c r="H35" s="65" t="n">
        <v>376.37</v>
      </c>
      <c r="I35" s="65" t="n">
        <v>401.36</v>
      </c>
      <c r="J35" s="65"/>
      <c r="K35" s="65"/>
      <c r="L35" s="67" t="n">
        <v>328.31</v>
      </c>
      <c r="M35" s="65" t="n">
        <v>318.1</v>
      </c>
      <c r="N35" s="68" t="n">
        <f aca="false">SUM(B35:M35)</f>
        <v>4091.92</v>
      </c>
      <c r="O35" s="48"/>
      <c r="P35" s="48"/>
    </row>
    <row r="36" customFormat="false" ht="15" hidden="false" customHeight="false" outlineLevel="0" collapsed="false">
      <c r="A36" s="47" t="s">
        <v>50</v>
      </c>
      <c r="B36" s="65"/>
      <c r="C36" s="65"/>
      <c r="D36" s="66"/>
      <c r="E36" s="65"/>
      <c r="F36" s="65"/>
      <c r="G36" s="65"/>
      <c r="H36" s="65"/>
      <c r="I36" s="65"/>
      <c r="J36" s="65"/>
      <c r="K36" s="65"/>
      <c r="L36" s="67"/>
      <c r="M36" s="65"/>
      <c r="N36" s="68" t="n">
        <f aca="false">SUM(B36:M36)</f>
        <v>0</v>
      </c>
      <c r="O36" s="48"/>
      <c r="P36" s="48"/>
    </row>
    <row r="37" customFormat="false" ht="15" hidden="false" customHeight="false" outlineLevel="0" collapsed="false">
      <c r="A37" s="47" t="s">
        <v>51</v>
      </c>
      <c r="B37" s="65" t="n">
        <v>150</v>
      </c>
      <c r="C37" s="65"/>
      <c r="D37" s="66"/>
      <c r="E37" s="65" t="n">
        <v>650</v>
      </c>
      <c r="F37" s="65" t="n">
        <f aca="false">484+150</f>
        <v>634</v>
      </c>
      <c r="G37" s="65" t="n">
        <f aca="false">150+969.51+151.7</f>
        <v>1271.21</v>
      </c>
      <c r="H37" s="65"/>
      <c r="I37" s="65"/>
      <c r="J37" s="65"/>
      <c r="K37" s="65"/>
      <c r="L37" s="67"/>
      <c r="M37" s="65"/>
      <c r="N37" s="68" t="n">
        <f aca="false">SUM(B37:M37)</f>
        <v>2705.21</v>
      </c>
      <c r="O37" s="48"/>
      <c r="P37" s="48"/>
    </row>
    <row r="38" customFormat="false" ht="15" hidden="false" customHeight="false" outlineLevel="0" collapsed="false">
      <c r="A38" s="54" t="s">
        <v>56</v>
      </c>
      <c r="B38" s="70" t="n">
        <f aca="false">SUM(B11:B37)</f>
        <v>19616.18</v>
      </c>
      <c r="C38" s="70" t="n">
        <f aca="false">SUM(C11:C37)</f>
        <v>18393.21</v>
      </c>
      <c r="D38" s="71" t="n">
        <f aca="false">SUM(D11:D37)</f>
        <v>18034.04</v>
      </c>
      <c r="E38" s="70" t="n">
        <f aca="false">SUM(E11:E37)</f>
        <v>18833.12</v>
      </c>
      <c r="F38" s="70" t="n">
        <f aca="false">SUM(F11:F37)</f>
        <v>18594.63</v>
      </c>
      <c r="G38" s="70" t="n">
        <f aca="false">SUM(G11:G37)</f>
        <v>18147.72</v>
      </c>
      <c r="H38" s="70" t="n">
        <f aca="false">SUM(H11:H37)</f>
        <v>17905.47</v>
      </c>
      <c r="I38" s="70" t="n">
        <f aca="false">SUM(I11:I37)</f>
        <v>2626.63</v>
      </c>
      <c r="J38" s="70" t="n">
        <f aca="false">SUM(J11:J37)</f>
        <v>508.61</v>
      </c>
      <c r="K38" s="70" t="n">
        <f aca="false">SUM(K11:K37)</f>
        <v>1106.15</v>
      </c>
      <c r="L38" s="72" t="n">
        <f aca="false">SUM(L11:L37)</f>
        <v>1022.46</v>
      </c>
      <c r="M38" s="70" t="n">
        <f aca="false">SUM(M11:M37)</f>
        <v>5048.35</v>
      </c>
      <c r="N38" s="73" t="n">
        <f aca="false">SUM(N11:N37)</f>
        <v>139836.57</v>
      </c>
      <c r="O38" s="49"/>
      <c r="P38" s="49"/>
    </row>
    <row r="39" customFormat="false" ht="15" hidden="false" customHeight="false" outlineLevel="0" collapsed="false">
      <c r="A39" s="80" t="s">
        <v>57</v>
      </c>
      <c r="B39" s="70" t="n">
        <f aca="false">B8-B38</f>
        <v>55.3699999999917</v>
      </c>
      <c r="C39" s="70" t="n">
        <f aca="false">C8-C38</f>
        <v>47.9599999999882</v>
      </c>
      <c r="D39" s="71" t="n">
        <f aca="false">D8-D38</f>
        <v>1258.48999999999</v>
      </c>
      <c r="E39" s="71" t="n">
        <f aca="false">E8-E38</f>
        <v>1242.48999999999</v>
      </c>
      <c r="F39" s="71" t="n">
        <f aca="false">F8-F38</f>
        <v>2154.21999999999</v>
      </c>
      <c r="G39" s="71" t="n">
        <f aca="false">G8-G38</f>
        <v>3589.78</v>
      </c>
      <c r="H39" s="71" t="n">
        <f aca="false">H8-H38</f>
        <v>2420.02</v>
      </c>
      <c r="I39" s="71" t="n">
        <f aca="false">I8-I38</f>
        <v>514.239999999997</v>
      </c>
      <c r="J39" s="71" t="n">
        <f aca="false">J8-J38</f>
        <v>76.4799999999966</v>
      </c>
      <c r="K39" s="71" t="n">
        <f aca="false">K8-K38</f>
        <v>10.3299999999965</v>
      </c>
      <c r="L39" s="81" t="n">
        <f aca="false">L8-L38</f>
        <v>89.5699999999963</v>
      </c>
      <c r="M39" s="71" t="n">
        <f aca="false">M8-M38</f>
        <v>2.19999999999527</v>
      </c>
      <c r="N39" s="82"/>
    </row>
    <row r="40" customFormat="false" ht="15" hidden="false" customHeight="false" outlineLevel="0" collapsed="false">
      <c r="B40" s="50"/>
      <c r="C40" s="50"/>
      <c r="D40" s="51"/>
      <c r="E40" s="50"/>
      <c r="F40" s="50"/>
      <c r="G40" s="50"/>
      <c r="H40" s="50"/>
      <c r="I40" s="50"/>
      <c r="J40" s="50"/>
      <c r="K40" s="50"/>
      <c r="L40" s="52"/>
      <c r="M40" s="50"/>
      <c r="N40" s="53"/>
    </row>
    <row r="41" customFormat="false" ht="15" hidden="false" customHeight="false" outlineLevel="0" collapsed="false">
      <c r="B41" s="50"/>
      <c r="C41" s="50"/>
      <c r="D41" s="51"/>
      <c r="E41" s="50"/>
      <c r="F41" s="50"/>
      <c r="G41" s="50"/>
      <c r="H41" s="50"/>
      <c r="I41" s="50"/>
      <c r="J41" s="50"/>
      <c r="K41" s="50"/>
      <c r="L41" s="52"/>
      <c r="M41" s="50"/>
      <c r="N41" s="53"/>
    </row>
    <row r="42" customFormat="false" ht="15" hidden="false" customHeight="false" outlineLevel="0" collapsed="false">
      <c r="A42" s="83" t="s">
        <v>88</v>
      </c>
      <c r="B42" s="84" t="s">
        <v>2</v>
      </c>
      <c r="C42" s="84" t="s">
        <v>3</v>
      </c>
      <c r="D42" s="84" t="s">
        <v>59</v>
      </c>
      <c r="E42" s="84" t="s">
        <v>5</v>
      </c>
      <c r="F42" s="84" t="s">
        <v>60</v>
      </c>
      <c r="G42" s="84" t="s">
        <v>7</v>
      </c>
      <c r="H42" s="84" t="s">
        <v>8</v>
      </c>
      <c r="I42" s="84" t="s">
        <v>9</v>
      </c>
      <c r="J42" s="84" t="s">
        <v>10</v>
      </c>
      <c r="K42" s="84" t="s">
        <v>11</v>
      </c>
      <c r="L42" s="84" t="s">
        <v>12</v>
      </c>
      <c r="M42" s="84" t="s">
        <v>13</v>
      </c>
      <c r="N42" s="85" t="s">
        <v>61</v>
      </c>
    </row>
    <row r="43" customFormat="false" ht="15" hidden="false" customHeight="false" outlineLevel="0" collapsed="false">
      <c r="A43" s="83" t="s">
        <v>89</v>
      </c>
      <c r="B43" s="86" t="n">
        <v>931.91</v>
      </c>
      <c r="C43" s="86" t="n">
        <f aca="false">B70</f>
        <v>3900.79</v>
      </c>
      <c r="D43" s="86" t="n">
        <f aca="false">C70</f>
        <v>1687.54</v>
      </c>
      <c r="E43" s="86" t="n">
        <f aca="false">D70</f>
        <v>2150.35</v>
      </c>
      <c r="F43" s="86" t="n">
        <f aca="false">E70</f>
        <v>2267.22</v>
      </c>
      <c r="G43" s="86" t="n">
        <f aca="false">F70</f>
        <v>3499.8</v>
      </c>
      <c r="H43" s="86" t="n">
        <f aca="false">G70</f>
        <v>4319.48000000001</v>
      </c>
      <c r="I43" s="86" t="n">
        <f aca="false">H70</f>
        <v>3027.16</v>
      </c>
      <c r="J43" s="86" t="n">
        <f aca="false">I70</f>
        <v>2391.44</v>
      </c>
      <c r="K43" s="86" t="n">
        <f aca="false">J70</f>
        <v>5146.40000000001</v>
      </c>
      <c r="L43" s="86" t="n">
        <f aca="false">K70</f>
        <v>1076.54000000001</v>
      </c>
      <c r="M43" s="86" t="n">
        <f aca="false">L70</f>
        <v>6409.45000000001</v>
      </c>
      <c r="N43" s="85" t="n">
        <f aca="false">SUM(B43:M43)</f>
        <v>36808.0800000001</v>
      </c>
    </row>
    <row r="44" customFormat="false" ht="15" hidden="false" customHeight="false" outlineLevel="0" collapsed="false">
      <c r="A44" s="87"/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5" t="n">
        <f aca="false">SUM(B44:M44)</f>
        <v>0</v>
      </c>
    </row>
    <row r="45" customFormat="false" ht="15" hidden="false" customHeight="false" outlineLevel="0" collapsed="false">
      <c r="A45" s="83" t="s">
        <v>63</v>
      </c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5" t="n">
        <f aca="false">SUM(B45:M45)</f>
        <v>0</v>
      </c>
    </row>
    <row r="46" customFormat="false" ht="15" hidden="false" customHeight="false" outlineLevel="0" collapsed="false">
      <c r="A46" s="88" t="s">
        <v>90</v>
      </c>
      <c r="B46" s="86"/>
      <c r="C46" s="86" t="n">
        <v>246.06</v>
      </c>
      <c r="D46" s="86" t="n">
        <v>246.06</v>
      </c>
      <c r="E46" s="86" t="n">
        <v>246.06</v>
      </c>
      <c r="F46" s="86" t="n">
        <v>246.06</v>
      </c>
      <c r="G46" s="86" t="n">
        <v>246.06</v>
      </c>
      <c r="H46" s="86" t="n">
        <v>251.14</v>
      </c>
      <c r="I46" s="86" t="n">
        <v>232.9</v>
      </c>
      <c r="J46" s="86" t="n">
        <v>232.9</v>
      </c>
      <c r="K46" s="86" t="n">
        <v>232.9</v>
      </c>
      <c r="L46" s="86" t="n">
        <v>233.22</v>
      </c>
      <c r="M46" s="86"/>
      <c r="N46" s="85" t="n">
        <f aca="false">SUM(B46:M46)</f>
        <v>2413.36</v>
      </c>
    </row>
    <row r="47" customFormat="false" ht="15" hidden="false" customHeight="false" outlineLevel="0" collapsed="false">
      <c r="A47" s="88" t="s">
        <v>91</v>
      </c>
      <c r="B47" s="86"/>
      <c r="C47" s="86"/>
      <c r="D47" s="86"/>
      <c r="E47" s="86"/>
      <c r="F47" s="86"/>
      <c r="G47" s="86"/>
      <c r="H47" s="86"/>
      <c r="I47" s="86"/>
      <c r="J47" s="86"/>
      <c r="K47" s="86" t="n">
        <v>2000</v>
      </c>
      <c r="L47" s="86"/>
      <c r="M47" s="86"/>
      <c r="N47" s="85"/>
    </row>
    <row r="48" customFormat="false" ht="15" hidden="false" customHeight="false" outlineLevel="0" collapsed="false">
      <c r="A48" s="87" t="s">
        <v>65</v>
      </c>
      <c r="B48" s="86" t="n">
        <f aca="false">500+250+500</f>
        <v>1250</v>
      </c>
      <c r="C48" s="86" t="n">
        <f aca="false">500+400+500+500+200+500</f>
        <v>2600</v>
      </c>
      <c r="D48" s="86" t="n">
        <f aca="false">500+500+200+500+500+350+500</f>
        <v>3050</v>
      </c>
      <c r="E48" s="86" t="n">
        <f aca="false">100+400+300</f>
        <v>800</v>
      </c>
      <c r="F48" s="86" t="n">
        <f aca="false">300+250+150+500+500+200+500+300</f>
        <v>2700</v>
      </c>
      <c r="G48" s="86" t="n">
        <f aca="false">500</f>
        <v>500</v>
      </c>
      <c r="H48" s="86" t="n">
        <f aca="false">320+500+500+500</f>
        <v>1820</v>
      </c>
      <c r="I48" s="86" t="n">
        <v>500</v>
      </c>
      <c r="J48" s="86" t="n">
        <f aca="false">150+500</f>
        <v>650</v>
      </c>
      <c r="K48" s="86" t="n">
        <f aca="false">200+600+200</f>
        <v>1000</v>
      </c>
      <c r="L48" s="86" t="n">
        <f aca="false">250+500+500+500+500+300+900+750+100+500</f>
        <v>4800</v>
      </c>
      <c r="M48" s="86" t="n">
        <f aca="false">300+500+500+600+200</f>
        <v>2100</v>
      </c>
      <c r="N48" s="85" t="n">
        <f aca="false">SUM(B48:M48)</f>
        <v>21770</v>
      </c>
    </row>
    <row r="49" customFormat="false" ht="15" hidden="false" customHeight="false" outlineLevel="0" collapsed="false">
      <c r="A49" s="87" t="s">
        <v>66</v>
      </c>
      <c r="B49" s="86" t="n">
        <f aca="false">1015.2+112.44+1255.39</f>
        <v>2383.03</v>
      </c>
      <c r="C49" s="86" t="n">
        <f aca="false">112.44+922.46+1015.2</f>
        <v>2050.1</v>
      </c>
      <c r="D49" s="86" t="n">
        <f aca="false">1015.2+112.44+1324.82</f>
        <v>2452.46</v>
      </c>
      <c r="E49" s="86" t="n">
        <f aca="false">112.44+1015.2+926.36</f>
        <v>2054</v>
      </c>
      <c r="F49" s="86" t="n">
        <f aca="false">112.44+979.13+1015.2</f>
        <v>2106.77</v>
      </c>
      <c r="G49" s="86" t="n">
        <f aca="false">112.44+1102.54+1015.2</f>
        <v>2230.18</v>
      </c>
      <c r="H49" s="86" t="n">
        <f aca="false">1015.2+2684.23+112.44</f>
        <v>3811.87</v>
      </c>
      <c r="I49" s="86" t="n">
        <f aca="false">112.44+2960.02+9.86+1163.12</f>
        <v>4245.44</v>
      </c>
      <c r="J49" s="86" t="n">
        <f aca="false">3219.12+112.44+1163.12+9.86</f>
        <v>4504.54</v>
      </c>
      <c r="K49" s="86" t="n">
        <f aca="false">3336.28+112.44+1163.12+9.96</f>
        <v>4621.8</v>
      </c>
      <c r="L49" s="86" t="n">
        <f aca="false">3523.14+1250.64+9.96+112.44</f>
        <v>4896.18</v>
      </c>
      <c r="M49" s="86" t="n">
        <f aca="false">1487.92+112.44+3604.67+9.96</f>
        <v>5214.99</v>
      </c>
      <c r="N49" s="85" t="n">
        <f aca="false">SUM(B49:M49)</f>
        <v>40571.36</v>
      </c>
    </row>
    <row r="50" customFormat="false" ht="15" hidden="false" customHeight="false" outlineLevel="0" collapsed="false">
      <c r="A50" s="87" t="s">
        <v>16</v>
      </c>
      <c r="B50" s="86"/>
      <c r="C50" s="86"/>
      <c r="D50" s="86"/>
      <c r="E50" s="86"/>
      <c r="F50" s="86"/>
      <c r="G50" s="86"/>
      <c r="H50" s="86" t="n">
        <v>17484.77</v>
      </c>
      <c r="I50" s="86" t="n">
        <f aca="false">3160.4+8372.95+295.67+2924.92+722.18</f>
        <v>15476.12</v>
      </c>
      <c r="J50" s="86" t="n">
        <f aca="false">2672.57+46.81+8815.43+926.98+3219.43</f>
        <v>15681.22</v>
      </c>
      <c r="K50" s="86" t="n">
        <f aca="false">3345.78+8782.69+3835.42+46.81+75.63</f>
        <v>16086.33</v>
      </c>
      <c r="L50" s="86" t="n">
        <f aca="false">2492.5+644.77+9326.6+164.93+164.93+2829.55</f>
        <v>15623.28</v>
      </c>
      <c r="M50" s="86" t="n">
        <f aca="false">725.85+200.78+5943.65+72.48+50.49+13490.01</f>
        <v>20483.26</v>
      </c>
      <c r="N50" s="85"/>
    </row>
    <row r="51" customFormat="false" ht="15" hidden="false" customHeight="false" outlineLevel="0" collapsed="false">
      <c r="A51" s="87" t="s">
        <v>92</v>
      </c>
      <c r="B51" s="86" t="n">
        <f aca="false">5500+2000+2000+500+1000+1000</f>
        <v>12000</v>
      </c>
      <c r="C51" s="86" t="n">
        <f aca="false">500.59+494.41</f>
        <v>995</v>
      </c>
      <c r="D51" s="86"/>
      <c r="E51" s="86" t="n">
        <v>1000</v>
      </c>
      <c r="F51" s="86"/>
      <c r="G51" s="86"/>
      <c r="H51" s="86"/>
      <c r="I51" s="86"/>
      <c r="J51" s="86"/>
      <c r="K51" s="86" t="n">
        <v>500</v>
      </c>
      <c r="L51" s="86"/>
      <c r="M51" s="86" t="n">
        <v>120</v>
      </c>
      <c r="N51" s="85" t="n">
        <f aca="false">SUM(B51:M51)</f>
        <v>14615</v>
      </c>
    </row>
    <row r="52" customFormat="false" ht="15" hidden="false" customHeight="false" outlineLevel="0" collapsed="false">
      <c r="A52" s="83" t="s">
        <v>93</v>
      </c>
      <c r="B52" s="86" t="n">
        <f aca="false">SUM(B46:B51)</f>
        <v>15633.03</v>
      </c>
      <c r="C52" s="86" t="n">
        <f aca="false">SUM(C46:C51)</f>
        <v>5891.16</v>
      </c>
      <c r="D52" s="86" t="n">
        <f aca="false">SUM(D46:D51)</f>
        <v>5748.52</v>
      </c>
      <c r="E52" s="86" t="n">
        <f aca="false">SUM(E46:E51)</f>
        <v>4100.06</v>
      </c>
      <c r="F52" s="86" t="n">
        <f aca="false">SUM(F46:F51)</f>
        <v>5052.83</v>
      </c>
      <c r="G52" s="86" t="n">
        <f aca="false">SUM(G46:G51)</f>
        <v>2976.24</v>
      </c>
      <c r="H52" s="86" t="n">
        <f aca="false">SUM(H46:H51)</f>
        <v>23367.78</v>
      </c>
      <c r="I52" s="86" t="n">
        <f aca="false">SUM(I46:I51)</f>
        <v>20454.46</v>
      </c>
      <c r="J52" s="86" t="n">
        <f aca="false">SUM(J46:J51)</f>
        <v>21068.66</v>
      </c>
      <c r="K52" s="86" t="n">
        <f aca="false">SUM(K46:K51)</f>
        <v>24441.03</v>
      </c>
      <c r="L52" s="86" t="n">
        <f aca="false">SUM(L46:L51)</f>
        <v>25552.68</v>
      </c>
      <c r="M52" s="86" t="n">
        <f aca="false">SUM(M46:M51)</f>
        <v>27918.25</v>
      </c>
      <c r="N52" s="85" t="n">
        <f aca="false">SUM(B52:M52)</f>
        <v>182204.7</v>
      </c>
    </row>
    <row r="53" customFormat="false" ht="15" hidden="false" customHeight="false" outlineLevel="0" collapsed="false">
      <c r="A53" s="83" t="s">
        <v>94</v>
      </c>
      <c r="B53" s="86" t="n">
        <f aca="false">B43+B52</f>
        <v>16564.94</v>
      </c>
      <c r="C53" s="86" t="n">
        <f aca="false">C43+C52</f>
        <v>9791.95</v>
      </c>
      <c r="D53" s="86" t="n">
        <f aca="false">D43+D52</f>
        <v>7436.06</v>
      </c>
      <c r="E53" s="86" t="n">
        <f aca="false">E43+E52</f>
        <v>6250.41</v>
      </c>
      <c r="F53" s="86" t="n">
        <f aca="false">F43+F52</f>
        <v>7320.05</v>
      </c>
      <c r="G53" s="86" t="n">
        <f aca="false">G43+G52</f>
        <v>6476.04000000001</v>
      </c>
      <c r="H53" s="86" t="n">
        <f aca="false">H43+H52</f>
        <v>27687.26</v>
      </c>
      <c r="I53" s="86" t="n">
        <f aca="false">I43+I52</f>
        <v>23481.62</v>
      </c>
      <c r="J53" s="86" t="n">
        <f aca="false">J43+J52</f>
        <v>23460.1</v>
      </c>
      <c r="K53" s="86" t="n">
        <f aca="false">K43+K52</f>
        <v>29587.43</v>
      </c>
      <c r="L53" s="86" t="n">
        <f aca="false">L43+L52</f>
        <v>26629.22</v>
      </c>
      <c r="M53" s="86" t="n">
        <f aca="false">M43+M52</f>
        <v>34327.7</v>
      </c>
      <c r="N53" s="85" t="n">
        <f aca="false">SUM(B53:M53)</f>
        <v>219012.78</v>
      </c>
    </row>
    <row r="54" customFormat="false" ht="15" hidden="false" customHeight="false" outlineLevel="0" collapsed="false">
      <c r="A54" s="87"/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5" t="n">
        <f aca="false">SUM(B54:M54)</f>
        <v>0</v>
      </c>
    </row>
    <row r="55" customFormat="false" ht="15" hidden="false" customHeight="false" outlineLevel="0" collapsed="false">
      <c r="A55" s="83" t="s">
        <v>21</v>
      </c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5" t="n">
        <f aca="false">SUM(B55:M55)</f>
        <v>0</v>
      </c>
    </row>
    <row r="56" customFormat="false" ht="15" hidden="false" customHeight="false" outlineLevel="0" collapsed="false">
      <c r="A56" s="87" t="s">
        <v>95</v>
      </c>
      <c r="B56" s="86"/>
      <c r="C56" s="86" t="n">
        <f aca="false">950+250</f>
        <v>1200</v>
      </c>
      <c r="D56" s="86" t="n">
        <v>1200</v>
      </c>
      <c r="E56" s="86" t="n">
        <f aca="false">100+100+900</f>
        <v>1100</v>
      </c>
      <c r="F56" s="86" t="n">
        <f aca="false">100+180+920</f>
        <v>1200</v>
      </c>
      <c r="G56" s="86"/>
      <c r="H56" s="86" t="n">
        <f aca="false">200+1000+1200</f>
        <v>2400</v>
      </c>
      <c r="I56" s="86" t="n">
        <f aca="false">600+1000</f>
        <v>1600</v>
      </c>
      <c r="J56" s="86"/>
      <c r="K56" s="86" t="n">
        <f aca="false">1200+1200+600</f>
        <v>3000</v>
      </c>
      <c r="L56" s="86" t="n">
        <v>1200</v>
      </c>
      <c r="M56" s="86" t="n">
        <f aca="false">2500+1200</f>
        <v>3700</v>
      </c>
      <c r="N56" s="85" t="n">
        <f aca="false">SUM(B56:M56)</f>
        <v>16600</v>
      </c>
    </row>
    <row r="57" customFormat="false" ht="15" hidden="false" customHeight="false" outlineLevel="0" collapsed="false">
      <c r="A57" s="87" t="s">
        <v>72</v>
      </c>
      <c r="B57" s="86" t="n">
        <f aca="false">8.65+8.65+8.65+79+8.65</f>
        <v>113.6</v>
      </c>
      <c r="C57" s="86" t="n">
        <f aca="false">8.65+8.65+79+9.5+9.5</f>
        <v>115.3</v>
      </c>
      <c r="D57" s="86" t="n">
        <f aca="false">9.5+99</f>
        <v>108.5</v>
      </c>
      <c r="E57" s="86" t="n">
        <f aca="false">99+9.5</f>
        <v>108.5</v>
      </c>
      <c r="F57" s="86" t="n">
        <f aca="false">9.5+99+9.5+9.5+9.5</f>
        <v>137</v>
      </c>
      <c r="G57" s="86" t="n">
        <f aca="false">9.5+99+36.5</f>
        <v>145</v>
      </c>
      <c r="H57" s="86" t="n">
        <f aca="false">99+9.5+9.5+9.5+9.5</f>
        <v>137</v>
      </c>
      <c r="I57" s="86" t="n">
        <f aca="false">9.5+99</f>
        <v>108.5</v>
      </c>
      <c r="J57" s="86" t="n">
        <f aca="false">99</f>
        <v>99</v>
      </c>
      <c r="K57" s="86" t="n">
        <v>99</v>
      </c>
      <c r="L57" s="86" t="n">
        <f aca="false">9.5+99+9.5+9.5</f>
        <v>127.5</v>
      </c>
      <c r="M57" s="86" t="n">
        <f aca="false">9.5+9.5+9.5+9.5+9.5+99+9.5+9.5+9.5</f>
        <v>175</v>
      </c>
      <c r="N57" s="85" t="n">
        <f aca="false">SUM(B57:M57)</f>
        <v>1473.9</v>
      </c>
    </row>
    <row r="58" customFormat="false" ht="15" hidden="false" customHeight="false" outlineLevel="0" collapsed="false">
      <c r="A58" s="87" t="s">
        <v>73</v>
      </c>
      <c r="B58" s="86" t="n">
        <f aca="false">200+1000+85.3+52.7+150</f>
        <v>1488</v>
      </c>
      <c r="C58" s="86" t="n">
        <f aca="false">990+70+200+500+50+250+153.23</f>
        <v>2213.23</v>
      </c>
      <c r="D58" s="86" t="n">
        <f aca="false">225+437+225+153.23+425.21+33.85+33.85+62.98</f>
        <v>1596.12</v>
      </c>
      <c r="E58" s="86" t="n">
        <f aca="false">154.1+225+4.86+1000+49</f>
        <v>1432.96</v>
      </c>
      <c r="F58" s="86" t="n">
        <f aca="false">244+200+138+200+151.7</f>
        <v>933.7</v>
      </c>
      <c r="G58" s="86" t="n">
        <f aca="false">155.7+365+165</f>
        <v>685.7</v>
      </c>
      <c r="H58" s="86" t="n">
        <f aca="false">33.85+25+129.6+100+158.11+150</f>
        <v>596.56</v>
      </c>
      <c r="I58" s="86" t="n">
        <f aca="false">60+400+350+456+210.25+350+342.6+1300</f>
        <v>3468.85</v>
      </c>
      <c r="J58" s="86" t="n">
        <f aca="false">68+550+210.25</f>
        <v>828.25</v>
      </c>
      <c r="K58" s="86" t="n">
        <f aca="false">148.53+129.8+210.25+504.32+190.49+165.35+210.25+61.19+1832.58</f>
        <v>3452.76</v>
      </c>
      <c r="L58" s="86" t="n">
        <f aca="false">150+909.5+193.81+1000+1500+90+205</f>
        <v>4048.31</v>
      </c>
      <c r="M58" s="86" t="n">
        <f aca="false">313.1+237.59+172.87+537.73+192.97+95.9+160.5+46.5+50</f>
        <v>1807.16</v>
      </c>
      <c r="N58" s="85" t="n">
        <f aca="false">SUM(B58:M58)</f>
        <v>22551.6</v>
      </c>
    </row>
    <row r="59" customFormat="false" ht="15" hidden="false" customHeight="false" outlineLevel="0" collapsed="false">
      <c r="A59" s="87" t="s">
        <v>74</v>
      </c>
      <c r="B59" s="86" t="n">
        <f aca="false">500+500+578+1000+1000</f>
        <v>3578</v>
      </c>
      <c r="C59" s="86" t="n">
        <f aca="false">1279</f>
        <v>1279</v>
      </c>
      <c r="D59" s="86"/>
      <c r="E59" s="86"/>
      <c r="F59" s="86"/>
      <c r="G59" s="86" t="n">
        <f aca="false">154+105.64</f>
        <v>259.64</v>
      </c>
      <c r="H59" s="86" t="n">
        <f aca="false">1000+1000+300+80</f>
        <v>2380</v>
      </c>
      <c r="I59" s="86" t="n">
        <f aca="false">1000+200</f>
        <v>1200</v>
      </c>
      <c r="J59" s="86" t="n">
        <v>909.5</v>
      </c>
      <c r="K59" s="86" t="n">
        <v>909.5</v>
      </c>
      <c r="L59" s="86"/>
      <c r="M59" s="86" t="n">
        <f aca="false">98.9+87.39+760+909.5+960+500+1500+1270+150</f>
        <v>6235.79</v>
      </c>
      <c r="N59" s="85" t="n">
        <f aca="false">SUM(B59:M59)</f>
        <v>16751.43</v>
      </c>
    </row>
    <row r="60" customFormat="false" ht="15" hidden="false" customHeight="false" outlineLevel="0" collapsed="false">
      <c r="A60" s="88" t="s">
        <v>96</v>
      </c>
      <c r="B60" s="86" t="n">
        <f aca="false">2500+1000+1000</f>
        <v>4500</v>
      </c>
      <c r="C60" s="86" t="n">
        <v>433</v>
      </c>
      <c r="D60" s="86" t="n">
        <f aca="false">433+500</f>
        <v>933</v>
      </c>
      <c r="E60" s="86" t="n">
        <v>433</v>
      </c>
      <c r="F60" s="86" t="n">
        <v>433</v>
      </c>
      <c r="G60" s="86" t="n">
        <v>433</v>
      </c>
      <c r="H60" s="86" t="n">
        <v>433</v>
      </c>
      <c r="I60" s="86"/>
      <c r="J60" s="86" t="n">
        <v>433</v>
      </c>
      <c r="K60" s="86" t="n">
        <f aca="false">433+433</f>
        <v>866</v>
      </c>
      <c r="L60" s="86" t="n">
        <v>433</v>
      </c>
      <c r="M60" s="86" t="n">
        <v>433</v>
      </c>
      <c r="N60" s="85" t="n">
        <f aca="false">SUM(B60:M60)</f>
        <v>9763</v>
      </c>
    </row>
    <row r="61" customFormat="false" ht="15" hidden="false" customHeight="false" outlineLevel="0" collapsed="false">
      <c r="A61" s="88" t="s">
        <v>97</v>
      </c>
      <c r="B61" s="86" t="n">
        <v>350</v>
      </c>
      <c r="C61" s="89"/>
      <c r="D61" s="86"/>
      <c r="E61" s="86"/>
      <c r="F61" s="86" t="n">
        <v>200</v>
      </c>
      <c r="G61" s="86"/>
      <c r="H61" s="86" t="n">
        <f aca="false">57.23+52.7+25</f>
        <v>134.93</v>
      </c>
      <c r="I61" s="86"/>
      <c r="J61" s="86" t="n">
        <f aca="false">738.45+52.7</f>
        <v>791.15</v>
      </c>
      <c r="K61" s="86" t="n">
        <v>250</v>
      </c>
      <c r="L61" s="86" t="n">
        <f aca="false">2829.55</f>
        <v>2829.55</v>
      </c>
      <c r="M61" s="86" t="n">
        <f aca="false">238.8</f>
        <v>238.8</v>
      </c>
      <c r="N61" s="85" t="n">
        <f aca="false">SUM(B61:M61)</f>
        <v>4794.43</v>
      </c>
    </row>
    <row r="62" customFormat="false" ht="15" hidden="false" customHeight="false" outlineLevel="0" collapsed="false">
      <c r="A62" s="88" t="s">
        <v>98</v>
      </c>
      <c r="B62" s="86"/>
      <c r="C62" s="86" t="n">
        <f aca="false">425.2+1334.05</f>
        <v>1759.25</v>
      </c>
      <c r="D62" s="86"/>
      <c r="E62" s="86"/>
      <c r="F62" s="86"/>
      <c r="G62" s="86"/>
      <c r="H62" s="86"/>
      <c r="I62" s="86"/>
      <c r="J62" s="86"/>
      <c r="K62" s="86" t="n">
        <v>2500</v>
      </c>
      <c r="L62" s="86"/>
      <c r="M62" s="86"/>
      <c r="N62" s="85" t="n">
        <f aca="false">SUM(B62:M62)</f>
        <v>4259.25</v>
      </c>
    </row>
    <row r="63" customFormat="false" ht="15" hidden="false" customHeight="false" outlineLevel="0" collapsed="false">
      <c r="A63" s="88" t="s">
        <v>78</v>
      </c>
      <c r="B63" s="86" t="n">
        <v>114.04</v>
      </c>
      <c r="C63" s="86" t="n">
        <v>114.04</v>
      </c>
      <c r="D63" s="86" t="n">
        <v>114.04</v>
      </c>
      <c r="E63" s="86" t="n">
        <v>114.04</v>
      </c>
      <c r="F63" s="86" t="n">
        <v>114.04</v>
      </c>
      <c r="G63" s="86" t="n">
        <v>114.04</v>
      </c>
      <c r="H63" s="86"/>
      <c r="I63" s="86" t="n">
        <v>114.04</v>
      </c>
      <c r="J63" s="86"/>
      <c r="K63" s="86" t="n">
        <v>114.04</v>
      </c>
      <c r="L63" s="86" t="n">
        <v>114.04</v>
      </c>
      <c r="M63" s="86" t="n">
        <v>114.04</v>
      </c>
      <c r="N63" s="85" t="n">
        <f aca="false">SUM(B63:M63)</f>
        <v>1140.4</v>
      </c>
    </row>
    <row r="64" customFormat="false" ht="15" hidden="false" customHeight="false" outlineLevel="0" collapsed="false">
      <c r="A64" s="88" t="s">
        <v>99</v>
      </c>
      <c r="B64" s="86" t="n">
        <v>223.51</v>
      </c>
      <c r="C64" s="86" t="n">
        <f aca="false">500.59+490</f>
        <v>990.59</v>
      </c>
      <c r="D64" s="86"/>
      <c r="E64" s="86" t="n">
        <f aca="false">223.51+571.18</f>
        <v>794.69</v>
      </c>
      <c r="F64" s="86" t="n">
        <f aca="false">509+70+223.51</f>
        <v>802.51</v>
      </c>
      <c r="G64" s="86" t="n">
        <v>519.18</v>
      </c>
      <c r="H64" s="86" t="n">
        <f aca="false">519.18+223.51</f>
        <v>742.69</v>
      </c>
      <c r="I64" s="86" t="n">
        <v>492</v>
      </c>
      <c r="J64" s="86" t="n">
        <f aca="false">223.51+4015.04</f>
        <v>4238.55</v>
      </c>
      <c r="K64" s="86" t="n">
        <f aca="false">223.51+223.51</f>
        <v>447.02</v>
      </c>
      <c r="L64" s="86" t="n">
        <v>223.51</v>
      </c>
      <c r="M64" s="86" t="n">
        <f aca="false">399.34</f>
        <v>399.34</v>
      </c>
      <c r="N64" s="85"/>
    </row>
    <row r="65" customFormat="false" ht="15" hidden="false" customHeight="false" outlineLevel="0" collapsed="false">
      <c r="A65" s="88" t="s">
        <v>100</v>
      </c>
      <c r="B65" s="86" t="n">
        <f aca="false">2000</f>
        <v>2000</v>
      </c>
      <c r="C65" s="86"/>
      <c r="D65" s="86" t="n">
        <f aca="false">1334.05</f>
        <v>1334.05</v>
      </c>
      <c r="E65" s="86"/>
      <c r="F65" s="86"/>
      <c r="G65" s="86"/>
      <c r="H65" s="86" t="n">
        <f aca="false">1519.83+474.7+5626.07+3092.57+942.62+238.8+106.75+477</f>
        <v>12478.34</v>
      </c>
      <c r="I65" s="86" t="n">
        <f aca="false">1048.62+3194.08+5513.91+335.14</f>
        <v>10091.75</v>
      </c>
      <c r="J65" s="86" t="n">
        <f aca="false">1113.69+3984.63+5253.61+238.8+423.52</f>
        <v>11014.25</v>
      </c>
      <c r="K65" s="86" t="n">
        <f aca="false">1420.47+4015.04+4137.01+1000+5829.15+95.9+375</f>
        <v>16872.57</v>
      </c>
      <c r="L65" s="86" t="n">
        <f aca="false">5857.8+95.9+1832.58+417.78+2829.55+210.25</f>
        <v>11243.86</v>
      </c>
      <c r="M65" s="86" t="n">
        <f aca="false">2162.02+3815.66+3910.43</f>
        <v>9888.11</v>
      </c>
      <c r="N65" s="85"/>
    </row>
    <row r="66" customFormat="false" ht="15" hidden="false" customHeight="false" outlineLevel="0" collapsed="false">
      <c r="A66" s="88" t="s">
        <v>101</v>
      </c>
      <c r="B66" s="86"/>
      <c r="C66" s="86"/>
      <c r="D66" s="86"/>
      <c r="E66" s="86"/>
      <c r="F66" s="86"/>
      <c r="G66" s="86"/>
      <c r="H66" s="86" t="n">
        <f aca="false">347.34+318+120+99.2+120+338</f>
        <v>1342.54</v>
      </c>
      <c r="I66" s="86"/>
      <c r="J66" s="86"/>
      <c r="K66" s="86"/>
      <c r="L66" s="86"/>
      <c r="M66" s="86" t="n">
        <f aca="false">500+300+100+530</f>
        <v>1430</v>
      </c>
      <c r="N66" s="85"/>
    </row>
    <row r="67" customFormat="false" ht="15" hidden="false" customHeight="false" outlineLevel="0" collapsed="false">
      <c r="A67" s="87" t="s">
        <v>80</v>
      </c>
      <c r="B67" s="86" t="n">
        <v>297</v>
      </c>
      <c r="C67" s="86"/>
      <c r="D67" s="86"/>
      <c r="E67" s="86"/>
      <c r="F67" s="86"/>
      <c r="G67" s="86"/>
      <c r="H67" s="86" t="n">
        <v>4015.04</v>
      </c>
      <c r="I67" s="86" t="n">
        <v>4015.04</v>
      </c>
      <c r="J67" s="86"/>
      <c r="K67" s="86"/>
      <c r="L67" s="86"/>
      <c r="M67" s="86" t="n">
        <v>6456.02</v>
      </c>
      <c r="N67" s="85" t="n">
        <f aca="false">SUM(B67:M67)</f>
        <v>14783.1</v>
      </c>
    </row>
    <row r="68" customFormat="false" ht="15" hidden="false" customHeight="false" outlineLevel="0" collapsed="false">
      <c r="A68" s="83" t="s">
        <v>81</v>
      </c>
      <c r="B68" s="86" t="n">
        <f aca="false">SUM(B56:B67)</f>
        <v>12664.15</v>
      </c>
      <c r="C68" s="86" t="n">
        <f aca="false">SUM(C56:C67)</f>
        <v>8104.41</v>
      </c>
      <c r="D68" s="86" t="n">
        <f aca="false">SUM(D56:D67)</f>
        <v>5285.71</v>
      </c>
      <c r="E68" s="86" t="n">
        <f aca="false">SUM(E56:E67)</f>
        <v>3983.19</v>
      </c>
      <c r="F68" s="86" t="n">
        <f aca="false">SUM(F56:F67)</f>
        <v>3820.25</v>
      </c>
      <c r="G68" s="86" t="n">
        <f aca="false">SUM(G56:G67)</f>
        <v>2156.56</v>
      </c>
      <c r="H68" s="86" t="n">
        <f aca="false">SUM(H56:H67)</f>
        <v>24660.1</v>
      </c>
      <c r="I68" s="86" t="n">
        <f aca="false">SUM(I56:I67)</f>
        <v>21090.18</v>
      </c>
      <c r="J68" s="86" t="n">
        <f aca="false">SUM(J56:J67)</f>
        <v>18313.7</v>
      </c>
      <c r="K68" s="86" t="n">
        <f aca="false">SUM(K56:K67)</f>
        <v>28510.89</v>
      </c>
      <c r="L68" s="86" t="n">
        <f aca="false">SUM(L56:L67)</f>
        <v>20219.77</v>
      </c>
      <c r="M68" s="86" t="n">
        <f aca="false">SUM(M56:M67)</f>
        <v>30877.26</v>
      </c>
      <c r="N68" s="85" t="n">
        <f aca="false">SUM(B68:M68)</f>
        <v>179686.17</v>
      </c>
    </row>
    <row r="69" customFormat="false" ht="15" hidden="false" customHeight="false" outlineLevel="0" collapsed="false">
      <c r="A69" s="87"/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5" t="n">
        <f aca="false">SUM(B69:M69)</f>
        <v>0</v>
      </c>
    </row>
    <row r="70" customFormat="false" ht="15" hidden="false" customHeight="false" outlineLevel="0" collapsed="false">
      <c r="A70" s="83" t="s">
        <v>82</v>
      </c>
      <c r="B70" s="86" t="n">
        <f aca="false">B53-B68</f>
        <v>3900.79</v>
      </c>
      <c r="C70" s="86" t="n">
        <f aca="false">C53-C68</f>
        <v>1687.54</v>
      </c>
      <c r="D70" s="86" t="n">
        <f aca="false">D53-D68</f>
        <v>2150.35</v>
      </c>
      <c r="E70" s="86" t="n">
        <f aca="false">E53-E68</f>
        <v>2267.22</v>
      </c>
      <c r="F70" s="86" t="n">
        <f aca="false">F53-F68</f>
        <v>3499.8</v>
      </c>
      <c r="G70" s="86" t="n">
        <f aca="false">G53-G68</f>
        <v>4319.48000000001</v>
      </c>
      <c r="H70" s="86" t="n">
        <f aca="false">H53-H68</f>
        <v>3027.16</v>
      </c>
      <c r="I70" s="86" t="n">
        <f aca="false">I53-I68</f>
        <v>2391.44</v>
      </c>
      <c r="J70" s="86" t="n">
        <f aca="false">J53-J68</f>
        <v>5146.40000000001</v>
      </c>
      <c r="K70" s="86" t="n">
        <f aca="false">K53-K68</f>
        <v>1076.54000000001</v>
      </c>
      <c r="L70" s="86" t="n">
        <f aca="false">L53-L68</f>
        <v>6409.45000000001</v>
      </c>
      <c r="M70" s="86" t="n">
        <f aca="false">M53-M68</f>
        <v>3450.44000000001</v>
      </c>
      <c r="N70" s="85" t="n">
        <f aca="false">SUM(B70:M70)</f>
        <v>39326.6100000001</v>
      </c>
    </row>
    <row r="71" customFormat="false" ht="15" hidden="false" customHeight="false" outlineLevel="0" collapsed="false">
      <c r="A71" s="87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90"/>
    </row>
    <row r="72" customFormat="false" ht="15" hidden="false" customHeight="false" outlineLevel="0" collapsed="false">
      <c r="A72" s="88"/>
      <c r="B72" s="84"/>
      <c r="C72" s="84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91"/>
    </row>
  </sheetData>
  <sheetProtection sheet="true" password="cacd" objects="true" scenarios="true"/>
  <printOptions headings="false" gridLines="false" gridLinesSet="true" horizontalCentered="true" verticalCentered="true"/>
  <pageMargins left="0.118055555555556" right="0.118055555555556" top="0.511805555555555" bottom="0.511805555555555" header="0.511805555555555" footer="0.511805555555555"/>
  <pageSetup paperSize="77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266</TotalTime>
  <Application>LibreOffice/6.0.3.2$Windows_x86 LibreOffice_project/8f48d515416608e3a835360314dac7e47fd0b821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2016-03-25T12:06:54Z</dcterms:created>
  <dc:creator>AVELL</dc:creator>
  <dc:description/>
  <dc:language>pt-BR</dc:language>
  <cp:lastModifiedBy/>
  <dcterms:modified xsi:type="dcterms:W3CDTF">2019-03-13T17:14:50Z</dcterms:modified>
  <cp:revision>24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